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سمیه\excell\New folder\"/>
    </mc:Choice>
  </mc:AlternateContent>
  <bookViews>
    <workbookView xWindow="0" yWindow="0" windowWidth="20490" windowHeight="7635" activeTab="2"/>
  </bookViews>
  <sheets>
    <sheet name="جدول داده ها" sheetId="1" r:id="rId1"/>
    <sheet name="حقوق و دستمزد" sheetId="3" r:id="rId2"/>
    <sheet name="فیش حقوقی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F16" i="4"/>
  <c r="F11" i="4"/>
  <c r="F8" i="4"/>
  <c r="F9" i="4"/>
  <c r="F10" i="4"/>
  <c r="F12" i="4"/>
  <c r="F13" i="4"/>
  <c r="F14" i="4"/>
  <c r="F15" i="4"/>
  <c r="F17" i="4"/>
  <c r="K9" i="4"/>
  <c r="K8" i="4"/>
  <c r="K7" i="4"/>
  <c r="F7" i="4"/>
  <c r="H4" i="4"/>
  <c r="G4" i="4"/>
  <c r="K10" i="4" l="1"/>
  <c r="F18" i="4"/>
  <c r="K13" i="4" s="1"/>
  <c r="O26" i="3"/>
  <c r="P26" i="3"/>
  <c r="Q26" i="3"/>
  <c r="R26" i="3"/>
  <c r="S26" i="3"/>
  <c r="T26" i="3"/>
  <c r="U26" i="3"/>
  <c r="V26" i="3"/>
  <c r="N26" i="3"/>
  <c r="M26" i="3"/>
  <c r="L26" i="3"/>
  <c r="K26" i="3"/>
  <c r="J26" i="3"/>
  <c r="I26" i="3"/>
  <c r="H26" i="3"/>
  <c r="G26" i="3"/>
  <c r="F26" i="3"/>
  <c r="E26" i="3"/>
  <c r="D2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6" i="3"/>
  <c r="K7" i="3" l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6" i="3"/>
  <c r="F6" i="3" l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6" i="3"/>
  <c r="J6" i="3"/>
  <c r="J25" i="3" l="1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6" i="3"/>
  <c r="M25" i="3"/>
  <c r="O26" i="1"/>
  <c r="K26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7" i="1"/>
  <c r="O25" i="3" l="1"/>
  <c r="G25" i="3"/>
  <c r="N25" i="3" s="1"/>
  <c r="Q25" i="3" s="1"/>
  <c r="G9" i="3"/>
  <c r="N9" i="3" s="1"/>
  <c r="Q9" i="3" s="1"/>
  <c r="G17" i="3"/>
  <c r="P17" i="3" s="1"/>
  <c r="G21" i="3"/>
  <c r="P21" i="3" s="1"/>
  <c r="G13" i="3"/>
  <c r="O13" i="3" s="1"/>
  <c r="G23" i="3"/>
  <c r="O23" i="3" s="1"/>
  <c r="G15" i="3"/>
  <c r="N15" i="3" s="1"/>
  <c r="Q15" i="3" s="1"/>
  <c r="G6" i="3"/>
  <c r="G10" i="3"/>
  <c r="O10" i="3" s="1"/>
  <c r="G14" i="3"/>
  <c r="P14" i="3" s="1"/>
  <c r="G18" i="3"/>
  <c r="O18" i="3" s="1"/>
  <c r="G22" i="3"/>
  <c r="N22" i="3" s="1"/>
  <c r="Q22" i="3" s="1"/>
  <c r="G7" i="3"/>
  <c r="O7" i="3" s="1"/>
  <c r="G11" i="3"/>
  <c r="P11" i="3" s="1"/>
  <c r="G19" i="3"/>
  <c r="N19" i="3" s="1"/>
  <c r="Q19" i="3" s="1"/>
  <c r="G8" i="3"/>
  <c r="P8" i="3" s="1"/>
  <c r="G12" i="3"/>
  <c r="P12" i="3" s="1"/>
  <c r="G16" i="3"/>
  <c r="N16" i="3" s="1"/>
  <c r="Q16" i="3" s="1"/>
  <c r="G20" i="3"/>
  <c r="O20" i="3" s="1"/>
  <c r="G24" i="3"/>
  <c r="P24" i="3" s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7" i="1"/>
  <c r="P7" i="3" l="1"/>
  <c r="O9" i="3"/>
  <c r="T9" i="3" s="1"/>
  <c r="N12" i="3"/>
  <c r="Q12" i="3" s="1"/>
  <c r="P13" i="3"/>
  <c r="S9" i="3"/>
  <c r="T23" i="3"/>
  <c r="S23" i="3"/>
  <c r="T25" i="3"/>
  <c r="S25" i="3"/>
  <c r="O12" i="3"/>
  <c r="S20" i="3"/>
  <c r="T20" i="3"/>
  <c r="T18" i="3"/>
  <c r="S18" i="3"/>
  <c r="S7" i="3"/>
  <c r="T7" i="3"/>
  <c r="T10" i="3"/>
  <c r="S10" i="3"/>
  <c r="T13" i="3"/>
  <c r="S13" i="3"/>
  <c r="P25" i="3"/>
  <c r="N21" i="3"/>
  <c r="Q21" i="3" s="1"/>
  <c r="P10" i="3"/>
  <c r="P23" i="3"/>
  <c r="O16" i="3"/>
  <c r="P22" i="3"/>
  <c r="O21" i="3"/>
  <c r="O22" i="3"/>
  <c r="N8" i="3"/>
  <c r="Q8" i="3" s="1"/>
  <c r="N24" i="3"/>
  <c r="Q24" i="3" s="1"/>
  <c r="N18" i="3"/>
  <c r="Q18" i="3" s="1"/>
  <c r="O19" i="3"/>
  <c r="P20" i="3"/>
  <c r="P9" i="3"/>
  <c r="N14" i="3"/>
  <c r="Q14" i="3" s="1"/>
  <c r="O15" i="3"/>
  <c r="N13" i="3"/>
  <c r="Q13" i="3" s="1"/>
  <c r="O17" i="3"/>
  <c r="N10" i="3"/>
  <c r="Q10" i="3" s="1"/>
  <c r="O14" i="3"/>
  <c r="P18" i="3"/>
  <c r="N7" i="3"/>
  <c r="Q7" i="3" s="1"/>
  <c r="O11" i="3"/>
  <c r="P15" i="3"/>
  <c r="N23" i="3"/>
  <c r="Q23" i="3" s="1"/>
  <c r="O8" i="3"/>
  <c r="N20" i="3"/>
  <c r="Q20" i="3" s="1"/>
  <c r="O24" i="3"/>
  <c r="N17" i="3"/>
  <c r="Q17" i="3" s="1"/>
  <c r="N11" i="3"/>
  <c r="Q11" i="3" s="1"/>
  <c r="P19" i="3"/>
  <c r="P16" i="3"/>
  <c r="P6" i="3"/>
  <c r="N6" i="3"/>
  <c r="Q6" i="3" s="1"/>
  <c r="O6" i="3"/>
  <c r="T21" i="3" l="1"/>
  <c r="S21" i="3"/>
  <c r="T8" i="3"/>
  <c r="S8" i="3"/>
  <c r="T17" i="3"/>
  <c r="S17" i="3"/>
  <c r="S12" i="3"/>
  <c r="T12" i="3"/>
  <c r="T6" i="3"/>
  <c r="S6" i="3"/>
  <c r="T11" i="3"/>
  <c r="S11" i="3"/>
  <c r="T16" i="3"/>
  <c r="S16" i="3"/>
  <c r="T24" i="3"/>
  <c r="S24" i="3"/>
  <c r="T14" i="3"/>
  <c r="S14" i="3"/>
  <c r="T15" i="3"/>
  <c r="S15" i="3"/>
  <c r="T19" i="3"/>
  <c r="S19" i="3"/>
  <c r="T22" i="3"/>
  <c r="S22" i="3"/>
</calcChain>
</file>

<file path=xl/sharedStrings.xml><?xml version="1.0" encoding="utf-8"?>
<sst xmlns="http://schemas.openxmlformats.org/spreadsheetml/2006/main" count="143" uniqueCount="88">
  <si>
    <t>مشخصات پرسنلی</t>
  </si>
  <si>
    <t>ساعات کارکرد فروردین</t>
  </si>
  <si>
    <t>پرداخت  ها</t>
  </si>
  <si>
    <t>کد پرسنلی</t>
  </si>
  <si>
    <t>نام</t>
  </si>
  <si>
    <t>نام خانوادگی</t>
  </si>
  <si>
    <t xml:space="preserve">عادی </t>
  </si>
  <si>
    <t>اضافه کار</t>
  </si>
  <si>
    <t>حقوق پایه</t>
  </si>
  <si>
    <t>حق مسکن</t>
  </si>
  <si>
    <t>تعداد اولاد</t>
  </si>
  <si>
    <t>بن  خوارو بار</t>
  </si>
  <si>
    <t>حق جذب</t>
  </si>
  <si>
    <t>روز های ماموریت</t>
  </si>
  <si>
    <t>حق ماموریت</t>
  </si>
  <si>
    <t>خیام</t>
  </si>
  <si>
    <t>نیشابوری</t>
  </si>
  <si>
    <t>خواجوی</t>
  </si>
  <si>
    <t>کرمانی</t>
  </si>
  <si>
    <t>فردوسی</t>
  </si>
  <si>
    <t>ابوالقاسم</t>
  </si>
  <si>
    <t>شمس</t>
  </si>
  <si>
    <t>تبریزی</t>
  </si>
  <si>
    <t>پروین</t>
  </si>
  <si>
    <t>اعتصامی</t>
  </si>
  <si>
    <t>حافظ</t>
  </si>
  <si>
    <t>شیرازی</t>
  </si>
  <si>
    <t>مهدی</t>
  </si>
  <si>
    <t>اخوان ثالث</t>
  </si>
  <si>
    <t>سعدی</t>
  </si>
  <si>
    <t>خوش سخن</t>
  </si>
  <si>
    <t>ایرج</t>
  </si>
  <si>
    <t>میرزا</t>
  </si>
  <si>
    <t>اوحدی</t>
  </si>
  <si>
    <t>مراغه ای</t>
  </si>
  <si>
    <t xml:space="preserve">بیدل </t>
  </si>
  <si>
    <t>دهلوی</t>
  </si>
  <si>
    <t xml:space="preserve">رودکی </t>
  </si>
  <si>
    <t>سمرقندی</t>
  </si>
  <si>
    <t>فریدون</t>
  </si>
  <si>
    <t>مشیری</t>
  </si>
  <si>
    <t>ناصر</t>
  </si>
  <si>
    <t>خسرو</t>
  </si>
  <si>
    <t>هوشنگ</t>
  </si>
  <si>
    <t>بافقی</t>
  </si>
  <si>
    <t>وصال</t>
  </si>
  <si>
    <t>یاحا</t>
  </si>
  <si>
    <t>کاشانی</t>
  </si>
  <si>
    <t>فرخی</t>
  </si>
  <si>
    <t>یزدی</t>
  </si>
  <si>
    <t>عطار</t>
  </si>
  <si>
    <t>ساعات کارکرد</t>
  </si>
  <si>
    <t>پرداخت ها</t>
  </si>
  <si>
    <t>مشمول مالیات</t>
  </si>
  <si>
    <t>در آمد مشمول بیمه</t>
  </si>
  <si>
    <t>جمع پرداخت ها</t>
  </si>
  <si>
    <t>کسور</t>
  </si>
  <si>
    <t>جمع کسور</t>
  </si>
  <si>
    <t>خالص پرداختیها</t>
  </si>
  <si>
    <t>عادی</t>
  </si>
  <si>
    <t>اضافی</t>
  </si>
  <si>
    <t>اضافه کاری</t>
  </si>
  <si>
    <t>حق اولاد</t>
  </si>
  <si>
    <t>بن و خوار وبار</t>
  </si>
  <si>
    <t>سایر مزایا</t>
  </si>
  <si>
    <t>مساعده</t>
  </si>
  <si>
    <t>بیمه سهم کارفرما</t>
  </si>
  <si>
    <t>بیمه سهم کارمند</t>
  </si>
  <si>
    <t>محمد تقی</t>
  </si>
  <si>
    <t>بهار</t>
  </si>
  <si>
    <t>مالیات متعلق</t>
  </si>
  <si>
    <t>جمع</t>
  </si>
  <si>
    <t>پـــــرداخــتــهـــا</t>
  </si>
  <si>
    <t>کــــــــــــــــــــــسور</t>
  </si>
  <si>
    <t xml:space="preserve">ساعت کارکرد عادی </t>
  </si>
  <si>
    <t>مــــســــــــاعده</t>
  </si>
  <si>
    <t xml:space="preserve">ساعت کارکرد اضافه کاری  </t>
  </si>
  <si>
    <t xml:space="preserve">ما لیات متعلق </t>
  </si>
  <si>
    <t xml:space="preserve">روزهای ماموریت </t>
  </si>
  <si>
    <t xml:space="preserve">حقوق پایه </t>
  </si>
  <si>
    <t xml:space="preserve">مبلغ اضافه کاری </t>
  </si>
  <si>
    <t>جمع کـــــســـــــور</t>
  </si>
  <si>
    <t xml:space="preserve">حق مسکن </t>
  </si>
  <si>
    <t>بن وخواربار</t>
  </si>
  <si>
    <t>خــــالـص پــرداخـتی</t>
  </si>
  <si>
    <t xml:space="preserve">حق ماموریت </t>
  </si>
  <si>
    <t xml:space="preserve">جــمــع حــــقــوق و مــزایـــا </t>
  </si>
  <si>
    <t>*شرکت ستاره*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</si>
</sst>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sz val="14"/>
      <color theme="1"/>
      <name val="B Nazanin"/>
      <charset val="178"/>
    </font>
    <font>
      <sz val="20"/>
      <color theme="1"/>
      <name val="B Nazanin"/>
      <charset val="178"/>
    </font>
    <font>
      <sz val="18"/>
      <color theme="1"/>
      <name val="B Nazanin"/>
      <charset val="178"/>
    </font>
    <font>
      <sz val="11"/>
      <color theme="1"/>
      <name val="Calibri"/>
      <family val="2"/>
      <scheme val="minor"/>
    </font>
    <font>
      <sz val="11"/>
      <color rgb="FFFF0000"/>
      <name val="Arial Unicode MS"/>
      <family val="2"/>
    </font>
    <font>
      <sz val="11"/>
      <color rgb="FF0070C0"/>
      <name val="Arial Unicode MS"/>
      <family val="2"/>
    </font>
    <font>
      <b/>
      <i/>
      <sz val="12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4"/>
      <name val="Arial"/>
      <family val="2"/>
      <charset val="186"/>
    </font>
    <font>
      <b/>
      <i/>
      <sz val="14"/>
      <color rgb="FFFF0000"/>
      <name val="Calibri"/>
      <family val="2"/>
      <scheme val="minor"/>
    </font>
    <font>
      <b/>
      <sz val="10"/>
      <name val="Arial"/>
      <family val="2"/>
      <charset val="186"/>
    </font>
    <font>
      <b/>
      <sz val="16"/>
      <name val="Arial"/>
      <family val="2"/>
      <charset val="186"/>
    </font>
    <font>
      <b/>
      <u val="double"/>
      <sz val="22"/>
      <color theme="3"/>
      <name val="Arial"/>
      <family val="2"/>
      <charset val="186"/>
    </font>
    <font>
      <b/>
      <sz val="18"/>
      <color theme="0"/>
      <name val="Arial"/>
      <family val="2"/>
      <charset val="186"/>
    </font>
    <font>
      <b/>
      <i/>
      <sz val="14"/>
      <color theme="1"/>
      <name val="Arial"/>
      <family val="2"/>
      <charset val="186"/>
    </font>
    <font>
      <b/>
      <i/>
      <sz val="12"/>
      <color theme="0"/>
      <name val="Arial"/>
      <family val="2"/>
      <charset val="186"/>
    </font>
    <font>
      <b/>
      <i/>
      <sz val="12"/>
      <color theme="0"/>
      <name val="Arial Unicode MS"/>
      <family val="2"/>
    </font>
    <font>
      <b/>
      <sz val="12"/>
      <name val="Arial Rounded MT Bold"/>
      <family val="2"/>
    </font>
    <font>
      <b/>
      <sz val="12"/>
      <name val="Arial"/>
      <family val="2"/>
      <charset val="186"/>
    </font>
    <font>
      <sz val="11"/>
      <color rgb="FFFC22BE"/>
      <name val="Arial Unicode MS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00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rgb="FFFEFC9C"/>
        <bgColor indexed="64"/>
      </patternFill>
    </fill>
    <fill>
      <patternFill patternType="solid">
        <fgColor rgb="FF99CCFF"/>
        <bgColor indexed="64"/>
      </patternFill>
    </fill>
  </fills>
  <borders count="4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9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slantDashDot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slantDashDot">
        <color indexed="64"/>
      </right>
      <top style="dotted">
        <color indexed="64"/>
      </top>
      <bottom style="dotted">
        <color indexed="64"/>
      </bottom>
      <diagonal/>
    </border>
    <border>
      <left style="slantDashDot">
        <color indexed="64"/>
      </left>
      <right style="dotted">
        <color indexed="64"/>
      </right>
      <top style="dotted">
        <color indexed="64"/>
      </top>
      <bottom style="slantDashDot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slantDashDot">
        <color indexed="64"/>
      </bottom>
      <diagonal/>
    </border>
    <border>
      <left style="slantDashDot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slantDashDot">
        <color indexed="64"/>
      </right>
      <top/>
      <bottom style="dotted">
        <color indexed="64"/>
      </bottom>
      <diagonal/>
    </border>
    <border>
      <left style="slantDashDot">
        <color indexed="64"/>
      </left>
      <right style="dotted">
        <color indexed="64"/>
      </right>
      <top style="slantDashDot">
        <color indexed="64"/>
      </top>
      <bottom style="slantDashDot">
        <color indexed="64"/>
      </bottom>
      <diagonal/>
    </border>
    <border>
      <left style="dotted">
        <color indexed="64"/>
      </left>
      <right style="dotted">
        <color indexed="64"/>
      </right>
      <top style="slantDashDot">
        <color indexed="64"/>
      </top>
      <bottom style="slantDashDot">
        <color indexed="64"/>
      </bottom>
      <diagonal/>
    </border>
    <border>
      <left style="dotted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slantDashDot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slantDashDot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slantDashDot">
        <color indexed="64"/>
      </bottom>
      <diagonal/>
    </border>
    <border>
      <left/>
      <right style="dotted">
        <color indexed="64"/>
      </right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5" fillId="6" borderId="0" applyNumberFormat="0" applyBorder="0" applyAlignment="0" applyProtection="0"/>
  </cellStyleXfs>
  <cellXfs count="101">
    <xf numFmtId="0" fontId="0" fillId="0" borderId="0" xfId="0"/>
    <xf numFmtId="0" fontId="1" fillId="3" borderId="1" xfId="0" applyFont="1" applyFill="1" applyBorder="1" applyAlignment="1">
      <alignment horizontal="center" vertical="top"/>
    </xf>
    <xf numFmtId="3" fontId="0" fillId="0" borderId="1" xfId="0" applyNumberFormat="1" applyBorder="1" applyAlignment="1">
      <alignment horizontal="center" vertical="center"/>
    </xf>
    <xf numFmtId="41" fontId="0" fillId="0" borderId="0" xfId="0" applyNumberFormat="1"/>
    <xf numFmtId="1" fontId="0" fillId="0" borderId="0" xfId="0" applyNumberFormat="1"/>
    <xf numFmtId="3" fontId="1" fillId="0" borderId="1" xfId="0" applyNumberFormat="1" applyFont="1" applyBorder="1" applyAlignment="1">
      <alignment horizontal="center" vertical="top"/>
    </xf>
    <xf numFmtId="3" fontId="0" fillId="0" borderId="0" xfId="0" applyNumberFormat="1"/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" fillId="0" borderId="1" xfId="0" quotePrefix="1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7" borderId="9" xfId="0" applyFont="1" applyFill="1" applyBorder="1" applyAlignment="1">
      <alignment vertical="center"/>
    </xf>
    <xf numFmtId="0" fontId="16" fillId="7" borderId="9" xfId="0" applyFont="1" applyFill="1" applyBorder="1" applyAlignment="1">
      <alignment vertical="center"/>
    </xf>
    <xf numFmtId="0" fontId="16" fillId="7" borderId="10" xfId="0" applyFont="1" applyFill="1" applyBorder="1" applyAlignment="1">
      <alignment vertical="center"/>
    </xf>
    <xf numFmtId="0" fontId="17" fillId="8" borderId="8" xfId="0" applyFont="1" applyFill="1" applyBorder="1" applyAlignment="1">
      <alignment vertical="center"/>
    </xf>
    <xf numFmtId="0" fontId="18" fillId="8" borderId="7" xfId="0" applyFont="1" applyFill="1" applyBorder="1" applyAlignment="1">
      <alignment horizontal="left" vertical="center"/>
    </xf>
    <xf numFmtId="3" fontId="5" fillId="10" borderId="1" xfId="1" applyNumberFormat="1" applyFill="1" applyBorder="1" applyAlignment="1">
      <alignment horizontal="center" vertical="top"/>
    </xf>
    <xf numFmtId="3" fontId="5" fillId="10" borderId="1" xfId="1" applyNumberFormat="1" applyFill="1" applyBorder="1" applyAlignment="1">
      <alignment horizontal="center"/>
    </xf>
    <xf numFmtId="3" fontId="4" fillId="10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/>
    </xf>
    <xf numFmtId="3" fontId="21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9" borderId="5" xfId="0" applyNumberFormat="1" applyFont="1" applyFill="1" applyBorder="1" applyAlignment="1">
      <alignment horizontal="center" vertical="center"/>
    </xf>
    <xf numFmtId="3" fontId="4" fillId="9" borderId="6" xfId="0" applyNumberFormat="1" applyFont="1" applyFill="1" applyBorder="1" applyAlignment="1">
      <alignment horizontal="center" vertical="center"/>
    </xf>
    <xf numFmtId="3" fontId="4" fillId="2" borderId="40" xfId="0" applyNumberFormat="1" applyFont="1" applyFill="1" applyBorder="1" applyAlignment="1">
      <alignment horizontal="center" vertical="center"/>
    </xf>
    <xf numFmtId="3" fontId="4" fillId="2" borderId="41" xfId="0" applyNumberFormat="1" applyFont="1" applyFill="1" applyBorder="1" applyAlignment="1">
      <alignment horizontal="center" vertical="center"/>
    </xf>
    <xf numFmtId="3" fontId="4" fillId="9" borderId="2" xfId="0" applyNumberFormat="1" applyFont="1" applyFill="1" applyBorder="1" applyAlignment="1">
      <alignment horizontal="center"/>
    </xf>
    <xf numFmtId="3" fontId="4" fillId="9" borderId="4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12" fillId="0" borderId="18" xfId="0" applyNumberFormat="1" applyFont="1" applyBorder="1" applyAlignment="1">
      <alignment horizontal="center" vertical="center"/>
    </xf>
    <xf numFmtId="3" fontId="20" fillId="9" borderId="25" xfId="0" applyNumberFormat="1" applyFont="1" applyFill="1" applyBorder="1" applyAlignment="1">
      <alignment horizontal="center" vertical="center"/>
    </xf>
    <xf numFmtId="3" fontId="20" fillId="9" borderId="33" xfId="0" applyNumberFormat="1" applyFont="1" applyFill="1" applyBorder="1" applyAlignment="1">
      <alignment horizontal="center" vertical="center"/>
    </xf>
    <xf numFmtId="3" fontId="20" fillId="9" borderId="28" xfId="0" applyNumberFormat="1" applyFont="1" applyFill="1" applyBorder="1" applyAlignment="1">
      <alignment horizontal="center" vertical="center"/>
    </xf>
    <xf numFmtId="3" fontId="20" fillId="9" borderId="34" xfId="0" applyNumberFormat="1" applyFont="1" applyFill="1" applyBorder="1" applyAlignment="1">
      <alignment horizontal="center" vertical="center"/>
    </xf>
    <xf numFmtId="3" fontId="20" fillId="9" borderId="36" xfId="0" applyNumberFormat="1" applyFont="1" applyFill="1" applyBorder="1" applyAlignment="1">
      <alignment horizontal="center" vertical="center"/>
    </xf>
    <xf numFmtId="3" fontId="20" fillId="9" borderId="37" xfId="0" applyNumberFormat="1" applyFont="1" applyFill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4" fillId="0" borderId="27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3" fontId="14" fillId="0" borderId="29" xfId="0" applyNumberFormat="1" applyFont="1" applyBorder="1" applyAlignment="1">
      <alignment horizontal="center" vertical="center"/>
    </xf>
    <xf numFmtId="3" fontId="14" fillId="0" borderId="36" xfId="0" applyNumberFormat="1" applyFont="1" applyBorder="1" applyAlignment="1">
      <alignment horizontal="center" vertical="center"/>
    </xf>
    <xf numFmtId="3" fontId="14" fillId="0" borderId="38" xfId="0" applyNumberFormat="1" applyFont="1" applyBorder="1" applyAlignment="1">
      <alignment horizontal="center" vertical="center"/>
    </xf>
    <xf numFmtId="3" fontId="14" fillId="0" borderId="39" xfId="0" applyNumberFormat="1" applyFont="1" applyBorder="1" applyAlignment="1">
      <alignment horizontal="center" vertical="center"/>
    </xf>
    <xf numFmtId="3" fontId="19" fillId="2" borderId="17" xfId="0" applyNumberFormat="1" applyFont="1" applyFill="1" applyBorder="1" applyAlignment="1">
      <alignment horizontal="center" vertical="center"/>
    </xf>
    <xf numFmtId="3" fontId="19" fillId="2" borderId="18" xfId="0" applyNumberFormat="1" applyFont="1" applyFill="1" applyBorder="1" applyAlignment="1">
      <alignment horizontal="center" vertical="center"/>
    </xf>
    <xf numFmtId="3" fontId="12" fillId="0" borderId="20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3" fillId="2" borderId="25" xfId="0" applyNumberFormat="1" applyFont="1" applyFill="1" applyBorder="1" applyAlignment="1">
      <alignment horizontal="center" vertical="center"/>
    </xf>
    <xf numFmtId="3" fontId="13" fillId="2" borderId="33" xfId="0" applyNumberFormat="1" applyFont="1" applyFill="1" applyBorder="1" applyAlignment="1">
      <alignment horizontal="center" vertical="center"/>
    </xf>
    <xf numFmtId="3" fontId="13" fillId="2" borderId="28" xfId="0" applyNumberFormat="1" applyFont="1" applyFill="1" applyBorder="1" applyAlignment="1">
      <alignment horizontal="center" vertical="center"/>
    </xf>
    <xf numFmtId="3" fontId="13" fillId="2" borderId="34" xfId="0" applyNumberFormat="1" applyFont="1" applyFill="1" applyBorder="1" applyAlignment="1">
      <alignment horizontal="center" vertical="center"/>
    </xf>
    <xf numFmtId="3" fontId="13" fillId="2" borderId="30" xfId="0" applyNumberFormat="1" applyFont="1" applyFill="1" applyBorder="1" applyAlignment="1">
      <alignment horizontal="center" vertical="center"/>
    </xf>
    <xf numFmtId="3" fontId="13" fillId="2" borderId="35" xfId="0" applyNumberFormat="1" applyFont="1" applyFill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/>
    </xf>
    <xf numFmtId="3" fontId="13" fillId="0" borderId="26" xfId="0" applyNumberFormat="1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/>
    </xf>
    <xf numFmtId="3" fontId="13" fillId="0" borderId="28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29" xfId="0" applyNumberFormat="1" applyFont="1" applyBorder="1" applyAlignment="1">
      <alignment horizontal="center" vertical="center"/>
    </xf>
    <xf numFmtId="3" fontId="13" fillId="0" borderId="30" xfId="0" applyNumberFormat="1" applyFont="1" applyBorder="1" applyAlignment="1">
      <alignment horizontal="center" vertical="center"/>
    </xf>
    <xf numFmtId="3" fontId="13" fillId="0" borderId="31" xfId="0" applyNumberFormat="1" applyFont="1" applyBorder="1" applyAlignment="1">
      <alignment horizontal="center" vertical="center"/>
    </xf>
    <xf numFmtId="3" fontId="13" fillId="0" borderId="32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3" fillId="0" borderId="21" xfId="0" applyNumberFormat="1" applyFont="1" applyBorder="1" applyAlignment="1">
      <alignment horizontal="center" vertical="center"/>
    </xf>
    <xf numFmtId="0" fontId="15" fillId="8" borderId="11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" fontId="10" fillId="0" borderId="22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3" fontId="11" fillId="0" borderId="24" xfId="0" applyNumberFormat="1" applyFont="1" applyBorder="1" applyAlignment="1">
      <alignment horizontal="center" vertical="center"/>
    </xf>
  </cellXfs>
  <cellStyles count="2">
    <cellStyle name="40% - Accent4" xfId="1" builtinId="43"/>
    <cellStyle name="Normal" xfId="0" builtinId="0"/>
  </cellStyles>
  <dxfs count="0"/>
  <tableStyles count="0" defaultTableStyle="TableStyleMedium2" defaultPivotStyle="PivotStyleLight16"/>
  <colors>
    <mruColors>
      <color rgb="FFFC22BE"/>
      <color rgb="FF99CCFF"/>
      <color rgb="FF6699FF"/>
      <color rgb="FF3366FF"/>
      <color rgb="FF00FFFF"/>
      <color rgb="FF0099FF"/>
      <color rgb="FFFEFC9C"/>
      <color rgb="FF33CCCC"/>
      <color rgb="FF66CC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B4:P28"/>
  <sheetViews>
    <sheetView rightToLeft="1" zoomScale="85" zoomScaleNormal="85" workbookViewId="0">
      <selection activeCell="G3" sqref="G3"/>
    </sheetView>
  </sheetViews>
  <sheetFormatPr defaultRowHeight="15" x14ac:dyDescent="0.25"/>
  <cols>
    <col min="3" max="3" width="14.85546875" customWidth="1"/>
    <col min="4" max="4" width="15.5703125" customWidth="1"/>
    <col min="5" max="5" width="14.42578125" customWidth="1"/>
    <col min="6" max="6" width="10.7109375" customWidth="1"/>
    <col min="7" max="7" width="11.5703125" customWidth="1"/>
    <col min="8" max="8" width="15.7109375" customWidth="1"/>
    <col min="9" max="9" width="15.42578125" customWidth="1"/>
    <col min="10" max="11" width="9.85546875" customWidth="1"/>
    <col min="12" max="12" width="12.140625" customWidth="1"/>
    <col min="13" max="13" width="12.5703125" customWidth="1"/>
    <col min="14" max="14" width="15.7109375" customWidth="1"/>
    <col min="15" max="15" width="13.42578125" customWidth="1"/>
  </cols>
  <sheetData>
    <row r="4" spans="2:16" ht="15.75" thickBot="1" x14ac:dyDescent="0.3"/>
    <row r="5" spans="2:16" ht="33" thickTop="1" thickBot="1" x14ac:dyDescent="0.8">
      <c r="C5" s="27" t="s">
        <v>0</v>
      </c>
      <c r="D5" s="28"/>
      <c r="E5" s="29"/>
      <c r="F5" s="30" t="s">
        <v>1</v>
      </c>
      <c r="G5" s="31"/>
      <c r="H5" s="32" t="s">
        <v>2</v>
      </c>
      <c r="I5" s="33"/>
      <c r="J5" s="33"/>
      <c r="K5" s="33"/>
      <c r="L5" s="33"/>
      <c r="M5" s="33"/>
      <c r="N5" s="33"/>
      <c r="O5" s="34"/>
    </row>
    <row r="6" spans="2:16" ht="18" thickTop="1" thickBot="1" x14ac:dyDescent="0.3"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62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2:16" ht="18" thickTop="1" thickBot="1" x14ac:dyDescent="0.3">
      <c r="B7" s="6"/>
      <c r="C7" s="5">
        <v>1</v>
      </c>
      <c r="D7" s="5" t="s">
        <v>15</v>
      </c>
      <c r="E7" s="5" t="s">
        <v>16</v>
      </c>
      <c r="F7" s="5">
        <v>185</v>
      </c>
      <c r="G7" s="2">
        <v>20</v>
      </c>
      <c r="H7" s="7">
        <v>4500000</v>
      </c>
      <c r="I7" s="5">
        <v>300000</v>
      </c>
      <c r="J7" s="5">
        <v>1</v>
      </c>
      <c r="K7" s="5">
        <f>IF(J7&lt;=2,J7*220000,440000)</f>
        <v>220000</v>
      </c>
      <c r="L7" s="5">
        <v>100000</v>
      </c>
      <c r="M7" s="2">
        <v>500000</v>
      </c>
      <c r="N7" s="5">
        <v>10</v>
      </c>
      <c r="O7" s="5">
        <f>N7*100000</f>
        <v>1000000</v>
      </c>
      <c r="P7" s="4"/>
    </row>
    <row r="8" spans="2:16" ht="18" thickTop="1" thickBot="1" x14ac:dyDescent="0.3">
      <c r="B8" s="6"/>
      <c r="C8" s="5">
        <v>2</v>
      </c>
      <c r="D8" s="5" t="s">
        <v>17</v>
      </c>
      <c r="E8" s="5" t="s">
        <v>18</v>
      </c>
      <c r="F8" s="5">
        <v>185</v>
      </c>
      <c r="G8" s="2">
        <v>21</v>
      </c>
      <c r="H8" s="7">
        <v>3500000</v>
      </c>
      <c r="I8" s="5">
        <v>300000</v>
      </c>
      <c r="J8" s="5">
        <v>2</v>
      </c>
      <c r="K8" s="5">
        <f t="shared" ref="K8:K26" si="0">IF(J8&lt;=2,J8*220000,440000)</f>
        <v>440000</v>
      </c>
      <c r="L8" s="5">
        <v>100000</v>
      </c>
      <c r="M8" s="2">
        <v>550000</v>
      </c>
      <c r="N8" s="5">
        <v>5</v>
      </c>
      <c r="O8" s="5">
        <f t="shared" ref="O8:O26" si="1">N8*100000</f>
        <v>500000</v>
      </c>
      <c r="P8" s="4"/>
    </row>
    <row r="9" spans="2:16" ht="18" thickTop="1" thickBot="1" x14ac:dyDescent="0.3">
      <c r="B9" s="6"/>
      <c r="C9" s="5">
        <v>3</v>
      </c>
      <c r="D9" s="5" t="s">
        <v>20</v>
      </c>
      <c r="E9" s="5" t="s">
        <v>19</v>
      </c>
      <c r="F9" s="5">
        <v>185</v>
      </c>
      <c r="G9" s="2">
        <v>15</v>
      </c>
      <c r="H9" s="7">
        <v>2500000</v>
      </c>
      <c r="I9" s="5">
        <v>300000</v>
      </c>
      <c r="J9" s="5">
        <v>1</v>
      </c>
      <c r="K9" s="5">
        <f t="shared" si="0"/>
        <v>220000</v>
      </c>
      <c r="L9" s="5">
        <v>100000</v>
      </c>
      <c r="M9" s="2">
        <v>200000</v>
      </c>
      <c r="N9" s="5">
        <v>0</v>
      </c>
      <c r="O9" s="5">
        <f t="shared" si="1"/>
        <v>0</v>
      </c>
      <c r="P9" s="4"/>
    </row>
    <row r="10" spans="2:16" ht="18" thickTop="1" thickBot="1" x14ac:dyDescent="0.3">
      <c r="B10" s="6"/>
      <c r="C10" s="5">
        <v>4</v>
      </c>
      <c r="D10" s="5" t="s">
        <v>21</v>
      </c>
      <c r="E10" s="5" t="s">
        <v>22</v>
      </c>
      <c r="F10" s="5">
        <v>185</v>
      </c>
      <c r="G10" s="2">
        <v>6</v>
      </c>
      <c r="H10" s="7">
        <v>4000000</v>
      </c>
      <c r="I10" s="5">
        <v>300000</v>
      </c>
      <c r="J10" s="5">
        <v>0</v>
      </c>
      <c r="K10" s="5">
        <f t="shared" si="0"/>
        <v>0</v>
      </c>
      <c r="L10" s="5">
        <v>100000</v>
      </c>
      <c r="M10" s="2">
        <v>0</v>
      </c>
      <c r="N10" s="5">
        <v>0</v>
      </c>
      <c r="O10" s="5">
        <f t="shared" si="1"/>
        <v>0</v>
      </c>
      <c r="P10" s="4"/>
    </row>
    <row r="11" spans="2:16" ht="18" thickTop="1" thickBot="1" x14ac:dyDescent="0.3">
      <c r="B11" s="6"/>
      <c r="C11" s="5">
        <v>5</v>
      </c>
      <c r="D11" s="5" t="s">
        <v>23</v>
      </c>
      <c r="E11" s="5" t="s">
        <v>24</v>
      </c>
      <c r="F11" s="5">
        <v>185</v>
      </c>
      <c r="G11" s="2">
        <v>8</v>
      </c>
      <c r="H11" s="7">
        <v>3000000</v>
      </c>
      <c r="I11" s="5">
        <v>300000</v>
      </c>
      <c r="J11" s="5">
        <v>3</v>
      </c>
      <c r="K11" s="5">
        <f t="shared" si="0"/>
        <v>440000</v>
      </c>
      <c r="L11" s="5">
        <v>100000</v>
      </c>
      <c r="M11" s="2">
        <v>0</v>
      </c>
      <c r="N11" s="5">
        <v>0</v>
      </c>
      <c r="O11" s="5">
        <f t="shared" si="1"/>
        <v>0</v>
      </c>
      <c r="P11" s="4"/>
    </row>
    <row r="12" spans="2:16" ht="18" thickTop="1" thickBot="1" x14ac:dyDescent="0.3">
      <c r="B12" s="6"/>
      <c r="C12" s="5">
        <v>6</v>
      </c>
      <c r="D12" s="5" t="s">
        <v>25</v>
      </c>
      <c r="E12" s="5" t="s">
        <v>26</v>
      </c>
      <c r="F12" s="5">
        <v>185</v>
      </c>
      <c r="G12" s="2">
        <v>14</v>
      </c>
      <c r="H12" s="7">
        <v>2196000</v>
      </c>
      <c r="I12" s="5">
        <v>300000</v>
      </c>
      <c r="J12" s="5">
        <v>2</v>
      </c>
      <c r="K12" s="5">
        <f t="shared" si="0"/>
        <v>440000</v>
      </c>
      <c r="L12" s="5">
        <v>100000</v>
      </c>
      <c r="M12" s="2">
        <v>0</v>
      </c>
      <c r="N12" s="5">
        <v>0</v>
      </c>
      <c r="O12" s="5">
        <f t="shared" si="1"/>
        <v>0</v>
      </c>
      <c r="P12" s="4"/>
    </row>
    <row r="13" spans="2:16" ht="18" thickTop="1" thickBot="1" x14ac:dyDescent="0.3">
      <c r="B13" s="6"/>
      <c r="C13" s="5">
        <v>7</v>
      </c>
      <c r="D13" s="5" t="s">
        <v>27</v>
      </c>
      <c r="E13" s="5" t="s">
        <v>28</v>
      </c>
      <c r="F13" s="5">
        <v>185</v>
      </c>
      <c r="G13" s="2">
        <v>18</v>
      </c>
      <c r="H13" s="7">
        <v>3900000</v>
      </c>
      <c r="I13" s="5">
        <v>300000</v>
      </c>
      <c r="J13" s="5">
        <v>0</v>
      </c>
      <c r="K13" s="5">
        <f t="shared" si="0"/>
        <v>0</v>
      </c>
      <c r="L13" s="5">
        <v>100000</v>
      </c>
      <c r="M13" s="2">
        <v>0</v>
      </c>
      <c r="N13" s="5">
        <v>0</v>
      </c>
      <c r="O13" s="5">
        <f t="shared" si="1"/>
        <v>0</v>
      </c>
      <c r="P13" s="4"/>
    </row>
    <row r="14" spans="2:16" ht="18" thickTop="1" thickBot="1" x14ac:dyDescent="0.3">
      <c r="B14" s="6"/>
      <c r="C14" s="5">
        <v>8</v>
      </c>
      <c r="D14" s="5" t="s">
        <v>29</v>
      </c>
      <c r="E14" s="5" t="s">
        <v>30</v>
      </c>
      <c r="F14" s="5">
        <v>185</v>
      </c>
      <c r="G14" s="2">
        <v>10</v>
      </c>
      <c r="H14" s="7">
        <v>2500000</v>
      </c>
      <c r="I14" s="5">
        <v>300000</v>
      </c>
      <c r="J14" s="5">
        <v>0</v>
      </c>
      <c r="K14" s="5">
        <f t="shared" si="0"/>
        <v>0</v>
      </c>
      <c r="L14" s="5">
        <v>100000</v>
      </c>
      <c r="M14" s="2">
        <v>300000</v>
      </c>
      <c r="N14" s="5">
        <v>0</v>
      </c>
      <c r="O14" s="5">
        <f t="shared" si="1"/>
        <v>0</v>
      </c>
      <c r="P14" s="4"/>
    </row>
    <row r="15" spans="2:16" ht="18" thickTop="1" thickBot="1" x14ac:dyDescent="0.3">
      <c r="B15" s="6"/>
      <c r="C15" s="5">
        <v>9</v>
      </c>
      <c r="D15" s="5" t="s">
        <v>31</v>
      </c>
      <c r="E15" s="5" t="s">
        <v>32</v>
      </c>
      <c r="F15" s="5">
        <v>185</v>
      </c>
      <c r="G15" s="2">
        <v>12</v>
      </c>
      <c r="H15" s="7">
        <v>3000000</v>
      </c>
      <c r="I15" s="5">
        <v>300000</v>
      </c>
      <c r="J15" s="5">
        <v>0</v>
      </c>
      <c r="K15" s="5">
        <f t="shared" si="0"/>
        <v>0</v>
      </c>
      <c r="L15" s="5">
        <v>100000</v>
      </c>
      <c r="M15" s="2">
        <v>350000</v>
      </c>
      <c r="N15" s="5">
        <v>0</v>
      </c>
      <c r="O15" s="5">
        <f t="shared" si="1"/>
        <v>0</v>
      </c>
      <c r="P15" s="4"/>
    </row>
    <row r="16" spans="2:16" ht="18" thickTop="1" thickBot="1" x14ac:dyDescent="0.3">
      <c r="B16" s="6"/>
      <c r="C16" s="5">
        <v>10</v>
      </c>
      <c r="D16" s="5" t="s">
        <v>33</v>
      </c>
      <c r="E16" s="5" t="s">
        <v>34</v>
      </c>
      <c r="F16" s="5">
        <v>185</v>
      </c>
      <c r="G16" s="2">
        <v>11</v>
      </c>
      <c r="H16" s="7">
        <v>3350000</v>
      </c>
      <c r="I16" s="5">
        <v>300000</v>
      </c>
      <c r="J16" s="5">
        <v>0</v>
      </c>
      <c r="K16" s="5">
        <f t="shared" si="0"/>
        <v>0</v>
      </c>
      <c r="L16" s="5">
        <v>100000</v>
      </c>
      <c r="M16" s="2">
        <v>450000</v>
      </c>
      <c r="N16" s="5">
        <v>0</v>
      </c>
      <c r="O16" s="5">
        <f t="shared" si="1"/>
        <v>0</v>
      </c>
      <c r="P16" s="4"/>
    </row>
    <row r="17" spans="2:16" ht="18" thickTop="1" thickBot="1" x14ac:dyDescent="0.3">
      <c r="B17" s="6"/>
      <c r="C17" s="5">
        <v>11</v>
      </c>
      <c r="D17" s="5" t="s">
        <v>35</v>
      </c>
      <c r="E17" s="5" t="s">
        <v>36</v>
      </c>
      <c r="F17" s="5">
        <v>185</v>
      </c>
      <c r="G17" s="2">
        <v>3</v>
      </c>
      <c r="H17" s="7">
        <v>4260000</v>
      </c>
      <c r="I17" s="5">
        <v>300000</v>
      </c>
      <c r="J17" s="5">
        <v>1</v>
      </c>
      <c r="K17" s="5">
        <f t="shared" si="0"/>
        <v>220000</v>
      </c>
      <c r="L17" s="5">
        <v>100000</v>
      </c>
      <c r="M17" s="2">
        <v>0</v>
      </c>
      <c r="N17" s="5">
        <v>0</v>
      </c>
      <c r="O17" s="5">
        <f t="shared" si="1"/>
        <v>0</v>
      </c>
      <c r="P17" s="4"/>
    </row>
    <row r="18" spans="2:16" ht="18" thickTop="1" thickBot="1" x14ac:dyDescent="0.3">
      <c r="B18" s="6"/>
      <c r="C18" s="5">
        <v>12</v>
      </c>
      <c r="D18" s="5" t="s">
        <v>37</v>
      </c>
      <c r="E18" s="5" t="s">
        <v>38</v>
      </c>
      <c r="F18" s="5">
        <v>185</v>
      </c>
      <c r="G18" s="2">
        <v>22</v>
      </c>
      <c r="H18" s="7">
        <v>3566000</v>
      </c>
      <c r="I18" s="5">
        <v>300000</v>
      </c>
      <c r="J18" s="5">
        <v>2</v>
      </c>
      <c r="K18" s="5">
        <f t="shared" si="0"/>
        <v>440000</v>
      </c>
      <c r="L18" s="5">
        <v>100000</v>
      </c>
      <c r="M18" s="2">
        <v>0</v>
      </c>
      <c r="N18" s="5">
        <v>0</v>
      </c>
      <c r="O18" s="5">
        <f t="shared" si="1"/>
        <v>0</v>
      </c>
      <c r="P18" s="4"/>
    </row>
    <row r="19" spans="2:16" ht="18" thickTop="1" thickBot="1" x14ac:dyDescent="0.3">
      <c r="B19" s="6"/>
      <c r="C19" s="5">
        <v>13</v>
      </c>
      <c r="D19" s="5" t="s">
        <v>39</v>
      </c>
      <c r="E19" s="5" t="s">
        <v>40</v>
      </c>
      <c r="F19" s="5">
        <v>185</v>
      </c>
      <c r="G19" s="2">
        <v>21</v>
      </c>
      <c r="H19" s="7">
        <v>2200000</v>
      </c>
      <c r="I19" s="5">
        <v>300000</v>
      </c>
      <c r="J19" s="5">
        <v>0</v>
      </c>
      <c r="K19" s="5">
        <f t="shared" si="0"/>
        <v>0</v>
      </c>
      <c r="L19" s="5">
        <v>100000</v>
      </c>
      <c r="M19" s="2">
        <v>0</v>
      </c>
      <c r="N19" s="5">
        <v>0</v>
      </c>
      <c r="O19" s="5">
        <f t="shared" si="1"/>
        <v>0</v>
      </c>
      <c r="P19" s="4"/>
    </row>
    <row r="20" spans="2:16" ht="18" thickTop="1" thickBot="1" x14ac:dyDescent="0.3">
      <c r="B20" s="6"/>
      <c r="C20" s="5">
        <v>14</v>
      </c>
      <c r="D20" s="5" t="s">
        <v>41</v>
      </c>
      <c r="E20" s="5" t="s">
        <v>42</v>
      </c>
      <c r="F20" s="5">
        <v>185</v>
      </c>
      <c r="G20" s="2">
        <v>10</v>
      </c>
      <c r="H20" s="7">
        <v>2300000</v>
      </c>
      <c r="I20" s="5">
        <v>300000</v>
      </c>
      <c r="J20" s="5">
        <v>2</v>
      </c>
      <c r="K20" s="5">
        <f t="shared" si="0"/>
        <v>440000</v>
      </c>
      <c r="L20" s="5">
        <v>100000</v>
      </c>
      <c r="M20" s="2">
        <v>0</v>
      </c>
      <c r="N20" s="5">
        <v>0</v>
      </c>
      <c r="O20" s="5">
        <f t="shared" si="1"/>
        <v>0</v>
      </c>
      <c r="P20" s="4"/>
    </row>
    <row r="21" spans="2:16" ht="18" thickTop="1" thickBot="1" x14ac:dyDescent="0.3">
      <c r="B21" s="6"/>
      <c r="C21" s="5">
        <v>15</v>
      </c>
      <c r="D21" s="5" t="s">
        <v>43</v>
      </c>
      <c r="E21" s="5" t="s">
        <v>44</v>
      </c>
      <c r="F21" s="5">
        <v>185</v>
      </c>
      <c r="G21" s="2">
        <v>15</v>
      </c>
      <c r="H21" s="7">
        <v>2600000</v>
      </c>
      <c r="I21" s="5">
        <v>300000</v>
      </c>
      <c r="J21" s="5">
        <v>1</v>
      </c>
      <c r="K21" s="5">
        <f t="shared" si="0"/>
        <v>220000</v>
      </c>
      <c r="L21" s="5">
        <v>100000</v>
      </c>
      <c r="M21" s="2">
        <v>100000</v>
      </c>
      <c r="N21" s="5">
        <v>0</v>
      </c>
      <c r="O21" s="5">
        <f t="shared" si="1"/>
        <v>0</v>
      </c>
      <c r="P21" s="4"/>
    </row>
    <row r="22" spans="2:16" ht="18" thickTop="1" thickBot="1" x14ac:dyDescent="0.3">
      <c r="B22" s="6"/>
      <c r="C22" s="5">
        <v>16</v>
      </c>
      <c r="D22" s="5" t="s">
        <v>45</v>
      </c>
      <c r="E22" s="5" t="s">
        <v>26</v>
      </c>
      <c r="F22" s="5">
        <v>185</v>
      </c>
      <c r="G22" s="2">
        <v>16</v>
      </c>
      <c r="H22" s="7">
        <v>2950000</v>
      </c>
      <c r="I22" s="5">
        <v>300000</v>
      </c>
      <c r="J22" s="5">
        <v>3</v>
      </c>
      <c r="K22" s="5">
        <f t="shared" si="0"/>
        <v>440000</v>
      </c>
      <c r="L22" s="5">
        <v>100000</v>
      </c>
      <c r="M22" s="2">
        <v>200000</v>
      </c>
      <c r="N22" s="5">
        <v>21</v>
      </c>
      <c r="O22" s="5">
        <f t="shared" si="1"/>
        <v>2100000</v>
      </c>
      <c r="P22" s="4"/>
    </row>
    <row r="23" spans="2:16" ht="18" thickTop="1" thickBot="1" x14ac:dyDescent="0.3">
      <c r="B23" s="6"/>
      <c r="C23" s="5">
        <v>17</v>
      </c>
      <c r="D23" s="5" t="s">
        <v>46</v>
      </c>
      <c r="E23" s="5" t="s">
        <v>47</v>
      </c>
      <c r="F23" s="5">
        <v>185</v>
      </c>
      <c r="G23" s="2">
        <v>20</v>
      </c>
      <c r="H23" s="7">
        <v>5000000</v>
      </c>
      <c r="I23" s="5">
        <v>300000</v>
      </c>
      <c r="J23" s="5">
        <v>2</v>
      </c>
      <c r="K23" s="5">
        <f t="shared" si="0"/>
        <v>440000</v>
      </c>
      <c r="L23" s="5">
        <v>100000</v>
      </c>
      <c r="M23" s="2">
        <v>150000</v>
      </c>
      <c r="N23" s="5">
        <v>10</v>
      </c>
      <c r="O23" s="5">
        <f t="shared" si="1"/>
        <v>1000000</v>
      </c>
      <c r="P23" s="4"/>
    </row>
    <row r="24" spans="2:16" ht="18" thickTop="1" thickBot="1" x14ac:dyDescent="0.3">
      <c r="B24" s="6"/>
      <c r="C24" s="8">
        <v>18</v>
      </c>
      <c r="D24" s="8" t="s">
        <v>48</v>
      </c>
      <c r="E24" s="8" t="s">
        <v>49</v>
      </c>
      <c r="F24" s="5">
        <v>185</v>
      </c>
      <c r="G24" s="2">
        <v>20</v>
      </c>
      <c r="H24" s="2">
        <v>5500000</v>
      </c>
      <c r="I24" s="5">
        <v>300000</v>
      </c>
      <c r="J24" s="8">
        <v>2</v>
      </c>
      <c r="K24" s="5">
        <f t="shared" si="0"/>
        <v>440000</v>
      </c>
      <c r="L24" s="5">
        <v>100000</v>
      </c>
      <c r="M24" s="2">
        <v>0</v>
      </c>
      <c r="N24" s="8">
        <v>12</v>
      </c>
      <c r="O24" s="5">
        <f t="shared" si="1"/>
        <v>1200000</v>
      </c>
      <c r="P24" s="4"/>
    </row>
    <row r="25" spans="2:16" ht="18" thickTop="1" thickBot="1" x14ac:dyDescent="0.3">
      <c r="B25" s="6"/>
      <c r="C25" s="8">
        <v>19</v>
      </c>
      <c r="D25" s="8" t="s">
        <v>50</v>
      </c>
      <c r="E25" s="8" t="s">
        <v>16</v>
      </c>
      <c r="F25" s="5">
        <v>185</v>
      </c>
      <c r="G25" s="2">
        <v>21</v>
      </c>
      <c r="H25" s="2">
        <v>2356000</v>
      </c>
      <c r="I25" s="5">
        <v>300000</v>
      </c>
      <c r="J25" s="8">
        <v>1</v>
      </c>
      <c r="K25" s="5">
        <f t="shared" si="0"/>
        <v>220000</v>
      </c>
      <c r="L25" s="5">
        <v>100000</v>
      </c>
      <c r="M25" s="2">
        <v>0</v>
      </c>
      <c r="N25" s="8">
        <v>0</v>
      </c>
      <c r="O25" s="5">
        <f t="shared" si="1"/>
        <v>0</v>
      </c>
      <c r="P25" s="4"/>
    </row>
    <row r="26" spans="2:16" ht="18" thickTop="1" thickBot="1" x14ac:dyDescent="0.3">
      <c r="B26" s="6"/>
      <c r="C26" s="9">
        <v>20</v>
      </c>
      <c r="D26" s="9" t="s">
        <v>68</v>
      </c>
      <c r="E26" s="9" t="s">
        <v>69</v>
      </c>
      <c r="F26" s="9">
        <v>185</v>
      </c>
      <c r="G26" s="2">
        <v>22</v>
      </c>
      <c r="H26" s="2">
        <v>2558000</v>
      </c>
      <c r="I26" s="2">
        <v>300000</v>
      </c>
      <c r="J26" s="2">
        <v>0</v>
      </c>
      <c r="K26" s="5">
        <f t="shared" si="0"/>
        <v>0</v>
      </c>
      <c r="L26" s="2">
        <v>100000</v>
      </c>
      <c r="M26" s="2">
        <v>0</v>
      </c>
      <c r="N26" s="2">
        <v>0</v>
      </c>
      <c r="O26" s="2">
        <f t="shared" si="1"/>
        <v>0</v>
      </c>
      <c r="P26" s="4"/>
    </row>
    <row r="27" spans="2:16" ht="15.75" thickTop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6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</sheetData>
  <mergeCells count="3">
    <mergeCell ref="C5:E5"/>
    <mergeCell ref="F5:G5"/>
    <mergeCell ref="H5:O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3:W27"/>
  <sheetViews>
    <sheetView rightToLeft="1" topLeftCell="A4" zoomScaleNormal="100" workbookViewId="0">
      <selection activeCell="S15" sqref="S15"/>
    </sheetView>
  </sheetViews>
  <sheetFormatPr defaultRowHeight="15" x14ac:dyDescent="0.25"/>
  <cols>
    <col min="1" max="1" width="9.28515625" style="6" bestFit="1" customWidth="1"/>
    <col min="2" max="2" width="12" style="6" customWidth="1"/>
    <col min="3" max="3" width="16.42578125" style="6" customWidth="1"/>
    <col min="4" max="4" width="16.7109375" style="6" customWidth="1"/>
    <col min="5" max="5" width="9.28515625" style="6" bestFit="1" customWidth="1"/>
    <col min="6" max="6" width="15.42578125" style="6" bestFit="1" customWidth="1"/>
    <col min="7" max="7" width="13.42578125" style="6" customWidth="1"/>
    <col min="8" max="8" width="14.140625" style="6" customWidth="1"/>
    <col min="9" max="9" width="13.7109375" style="6" customWidth="1"/>
    <col min="10" max="10" width="17.140625" style="6" customWidth="1"/>
    <col min="11" max="11" width="13" style="6" customWidth="1"/>
    <col min="12" max="12" width="14.28515625" style="6" customWidth="1"/>
    <col min="13" max="13" width="16.5703125" style="6" customWidth="1"/>
    <col min="14" max="14" width="16.28515625" style="6" customWidth="1"/>
    <col min="15" max="15" width="22.7109375" style="6" customWidth="1"/>
    <col min="16" max="16" width="20" style="6" customWidth="1"/>
    <col min="17" max="17" width="15.42578125" style="6" customWidth="1"/>
    <col min="18" max="18" width="9.85546875" style="6" customWidth="1"/>
    <col min="19" max="19" width="21.85546875" style="6" customWidth="1"/>
    <col min="20" max="20" width="23.7109375" style="6" customWidth="1"/>
    <col min="21" max="21" width="21.7109375" style="6" customWidth="1"/>
    <col min="22" max="22" width="19.5703125" style="6" customWidth="1"/>
    <col min="23" max="16384" width="9.140625" style="6"/>
  </cols>
  <sheetData>
    <row r="3" spans="1:23" ht="15.75" thickBot="1" x14ac:dyDescent="0.3"/>
    <row r="4" spans="1:23" ht="29.25" thickTop="1" thickBot="1" x14ac:dyDescent="0.7">
      <c r="A4" s="38" t="s">
        <v>0</v>
      </c>
      <c r="B4" s="39"/>
      <c r="C4" s="40"/>
      <c r="D4" s="48" t="s">
        <v>51</v>
      </c>
      <c r="E4" s="49"/>
      <c r="F4" s="41" t="s">
        <v>52</v>
      </c>
      <c r="G4" s="42"/>
      <c r="H4" s="42"/>
      <c r="I4" s="42"/>
      <c r="J4" s="42"/>
      <c r="K4" s="42"/>
      <c r="L4" s="42"/>
      <c r="M4" s="43"/>
      <c r="N4" s="44" t="s">
        <v>53</v>
      </c>
      <c r="O4" s="50" t="s">
        <v>54</v>
      </c>
      <c r="P4" s="44" t="s">
        <v>55</v>
      </c>
      <c r="Q4" s="41" t="s">
        <v>56</v>
      </c>
      <c r="R4" s="42"/>
      <c r="S4" s="42"/>
      <c r="T4" s="43"/>
      <c r="U4" s="44" t="s">
        <v>57</v>
      </c>
      <c r="V4" s="46" t="s">
        <v>58</v>
      </c>
    </row>
    <row r="5" spans="1:23" ht="29.25" thickTop="1" thickBot="1" x14ac:dyDescent="0.7">
      <c r="A5" s="22" t="s">
        <v>3</v>
      </c>
      <c r="B5" s="23" t="s">
        <v>4</v>
      </c>
      <c r="C5" s="23" t="s">
        <v>5</v>
      </c>
      <c r="D5" s="25" t="s">
        <v>59</v>
      </c>
      <c r="E5" s="25" t="s">
        <v>60</v>
      </c>
      <c r="F5" s="24" t="s">
        <v>8</v>
      </c>
      <c r="G5" s="24" t="s">
        <v>61</v>
      </c>
      <c r="H5" s="24" t="s">
        <v>9</v>
      </c>
      <c r="I5" s="24" t="s">
        <v>62</v>
      </c>
      <c r="J5" s="24" t="s">
        <v>63</v>
      </c>
      <c r="K5" s="24" t="s">
        <v>12</v>
      </c>
      <c r="L5" s="24" t="s">
        <v>14</v>
      </c>
      <c r="M5" s="24" t="s">
        <v>64</v>
      </c>
      <c r="N5" s="45"/>
      <c r="O5" s="51"/>
      <c r="P5" s="45"/>
      <c r="Q5" s="24" t="s">
        <v>70</v>
      </c>
      <c r="R5" s="24" t="s">
        <v>65</v>
      </c>
      <c r="S5" s="24" t="s">
        <v>66</v>
      </c>
      <c r="T5" s="24" t="s">
        <v>67</v>
      </c>
      <c r="U5" s="45"/>
      <c r="V5" s="47"/>
    </row>
    <row r="6" spans="1:23" ht="18" thickTop="1" thickBot="1" x14ac:dyDescent="0.35">
      <c r="A6" s="7">
        <v>1</v>
      </c>
      <c r="B6" s="7" t="s">
        <v>15</v>
      </c>
      <c r="C6" s="7" t="s">
        <v>16</v>
      </c>
      <c r="D6" s="10">
        <f>VLOOKUP(A6,'جدول داده ها'!C7:F26,4)</f>
        <v>185</v>
      </c>
      <c r="E6" s="11">
        <f>VLOOKUP(A6,'جدول داده ها'!C7:G26,5)</f>
        <v>20</v>
      </c>
      <c r="F6" s="7">
        <f>VLOOKUP('حقوق و دستمزد'!A6,'جدول داده ها'!C7:H26,6)</f>
        <v>4500000</v>
      </c>
      <c r="G6" s="7">
        <f>(F6/220)*E6</f>
        <v>409090.90909090912</v>
      </c>
      <c r="H6" s="7">
        <v>300000</v>
      </c>
      <c r="I6" s="12">
        <f>VLOOKUP(A6,'جدول داده ها'!C7:K26,9)</f>
        <v>220000</v>
      </c>
      <c r="J6" s="7">
        <f>VLOOKUP('حقوق و دستمزد'!A6,'جدول داده ها'!C7:L26,10)</f>
        <v>100000</v>
      </c>
      <c r="K6" s="7">
        <f>VLOOKUP(A6,'جدول داده ها'!C7:M26,11)</f>
        <v>500000</v>
      </c>
      <c r="L6" s="13">
        <f>VLOOKUP(A6,'جدول داده ها'!C7:O26,13)</f>
        <v>1000000</v>
      </c>
      <c r="M6" s="7">
        <v>0</v>
      </c>
      <c r="N6" s="7">
        <f>SUM(F6:K6,M42)</f>
        <v>6029090.9090909092</v>
      </c>
      <c r="O6" s="7">
        <f>SUM(F6:H6,K6,M6)</f>
        <v>5709090.9090909092</v>
      </c>
      <c r="P6" s="7">
        <f>SUM(F6:M6)</f>
        <v>7029090.9090909092</v>
      </c>
      <c r="Q6" s="7">
        <f>IF(AND(N6&gt;2450000,N6&lt;=5950000),(N6-(2450000))*0.1,IF(AND(N6&gt;5950000,N6&lt;=10783333),(N6-(5950000))*0.2+(350000),IF(AND(N6&gt;10783333,N6&lt;=23283333),(N6-(10783333))*0.25+(1316667),IF(AND(N6&gt;23283333,N6&lt;=1000000000),(N6-(23283333))*0.3+(4441667),0))))</f>
        <v>365818.18181818182</v>
      </c>
      <c r="R6" s="7">
        <v>0</v>
      </c>
      <c r="S6" s="7">
        <f>IF(AND(O6&gt;1,O6&lt;=15372000),O6*0.23,3535560)</f>
        <v>1313090.9090909092</v>
      </c>
      <c r="T6" s="7">
        <f>IF(AND(O6&gt;1,O6&lt;=15372000),O6*0.07,1076040)</f>
        <v>399636.36363636371</v>
      </c>
      <c r="U6" s="7">
        <f>SUM(Q6:R6,T6)</f>
        <v>765454.54545454553</v>
      </c>
      <c r="V6" s="7">
        <f>P6-U6</f>
        <v>6263636.3636363633</v>
      </c>
      <c r="W6" s="14"/>
    </row>
    <row r="7" spans="1:23" ht="18" thickTop="1" thickBot="1" x14ac:dyDescent="0.35">
      <c r="A7" s="7">
        <v>2</v>
      </c>
      <c r="B7" s="7" t="s">
        <v>17</v>
      </c>
      <c r="C7" s="7" t="s">
        <v>18</v>
      </c>
      <c r="D7" s="10">
        <f>VLOOKUP(A7,'جدول داده ها'!C8:F27,4)</f>
        <v>185</v>
      </c>
      <c r="E7" s="11">
        <f>VLOOKUP(A7,'جدول داده ها'!C8:G27,5)</f>
        <v>21</v>
      </c>
      <c r="F7" s="7">
        <f>VLOOKUP('حقوق و دستمزد'!A7,'جدول داده ها'!C8:H27,6)</f>
        <v>3500000</v>
      </c>
      <c r="G7" s="7">
        <f t="shared" ref="G7:G25" si="0">(F7/220)*E7</f>
        <v>334090.90909090912</v>
      </c>
      <c r="H7" s="7">
        <v>300000</v>
      </c>
      <c r="I7" s="12">
        <f>VLOOKUP(A7,'جدول داده ها'!C8:K27,9)</f>
        <v>440000</v>
      </c>
      <c r="J7" s="7">
        <f>VLOOKUP(A7,'جدول داده ها'!C8:L27,10)</f>
        <v>100000</v>
      </c>
      <c r="K7" s="7">
        <f>VLOOKUP(A7,'جدول داده ها'!C8:M27,11)</f>
        <v>550000</v>
      </c>
      <c r="L7" s="13">
        <f>VLOOKUP(A7,'جدول داده ها'!C8:O27,13)</f>
        <v>500000</v>
      </c>
      <c r="M7" s="7">
        <v>0</v>
      </c>
      <c r="N7" s="7">
        <f t="shared" ref="N7:N25" si="1">SUM(F7:K7,M43)</f>
        <v>5224090.9090909092</v>
      </c>
      <c r="O7" s="7">
        <f t="shared" ref="O7:O25" si="2">SUM(F7:H7,K7,M7)</f>
        <v>4684090.9090909092</v>
      </c>
      <c r="P7" s="7">
        <f t="shared" ref="P7:P25" si="3">SUM(F7:M7)</f>
        <v>5724090.9090909092</v>
      </c>
      <c r="Q7" s="7">
        <f t="shared" ref="Q7:Q25" si="4">IF(AND(N7&gt;2450000,N7&lt;=5950000),(N7-(2450000))*0.1,IF(AND(N7&gt;5950000,N7&lt;=10783333),(N7-(5950000))*0.2+(350000),IF(AND(N7&gt;10783333,N7&lt;=23283333),(N7-(10783333))*0.25+(1316667),IF(AND(N7&gt;23283333,N7&lt;=1000000000),(N7-(23283333))*0.3+(4441667),0))))</f>
        <v>277409.09090909094</v>
      </c>
      <c r="R7" s="7">
        <v>0</v>
      </c>
      <c r="S7" s="7">
        <f t="shared" ref="S7:S25" si="5">IF(AND(O7&gt;1,O7&lt;=15372000),O7*0.23,3535560)</f>
        <v>1077340.9090909092</v>
      </c>
      <c r="T7" s="7">
        <f t="shared" ref="T7:T25" si="6">IF(AND(O7&gt;1,O7&lt;=15372000),O7*0.07,1076040)</f>
        <v>327886.36363636365</v>
      </c>
      <c r="U7" s="7">
        <f t="shared" ref="U7:U25" si="7">SUM(Q7:R7,T7)</f>
        <v>605295.45454545459</v>
      </c>
      <c r="V7" s="7">
        <f t="shared" ref="V7:V25" si="8">P7-U7</f>
        <v>5118795.4545454551</v>
      </c>
      <c r="W7" s="14"/>
    </row>
    <row r="8" spans="1:23" ht="18" thickTop="1" thickBot="1" x14ac:dyDescent="0.35">
      <c r="A8" s="7">
        <v>3</v>
      </c>
      <c r="B8" s="7" t="s">
        <v>20</v>
      </c>
      <c r="C8" s="7" t="s">
        <v>19</v>
      </c>
      <c r="D8" s="10">
        <f>VLOOKUP(A8,'جدول داده ها'!C9:F28,4)</f>
        <v>185</v>
      </c>
      <c r="E8" s="11">
        <f>VLOOKUP(A8,'جدول داده ها'!C9:G28,5)</f>
        <v>15</v>
      </c>
      <c r="F8" s="7">
        <f>VLOOKUP('حقوق و دستمزد'!A8,'جدول داده ها'!C9:H28,6)</f>
        <v>2500000</v>
      </c>
      <c r="G8" s="7">
        <f t="shared" si="0"/>
        <v>170454.54545454547</v>
      </c>
      <c r="H8" s="7">
        <v>300000</v>
      </c>
      <c r="I8" s="12">
        <f>VLOOKUP(A8,'جدول داده ها'!C9:K28,9)</f>
        <v>220000</v>
      </c>
      <c r="J8" s="7">
        <f>VLOOKUP(A8,'جدول داده ها'!C9:L28,10)</f>
        <v>100000</v>
      </c>
      <c r="K8" s="7">
        <f>VLOOKUP(A8,'جدول داده ها'!C9:M28,11)</f>
        <v>200000</v>
      </c>
      <c r="L8" s="13">
        <f>VLOOKUP(A8,'جدول داده ها'!C9:O28,13)</f>
        <v>0</v>
      </c>
      <c r="M8" s="7">
        <v>0</v>
      </c>
      <c r="N8" s="7">
        <f t="shared" si="1"/>
        <v>3490454.5454545454</v>
      </c>
      <c r="O8" s="7">
        <f t="shared" si="2"/>
        <v>3170454.5454545454</v>
      </c>
      <c r="P8" s="7">
        <f t="shared" si="3"/>
        <v>3490454.5454545454</v>
      </c>
      <c r="Q8" s="7">
        <f t="shared" si="4"/>
        <v>104045.45454545454</v>
      </c>
      <c r="R8" s="7">
        <v>0</v>
      </c>
      <c r="S8" s="7">
        <f t="shared" si="5"/>
        <v>729204.54545454553</v>
      </c>
      <c r="T8" s="7">
        <f t="shared" si="6"/>
        <v>221931.81818181821</v>
      </c>
      <c r="U8" s="7">
        <f t="shared" si="7"/>
        <v>325977.27272727276</v>
      </c>
      <c r="V8" s="7">
        <f t="shared" si="8"/>
        <v>3164477.2727272725</v>
      </c>
      <c r="W8" s="14"/>
    </row>
    <row r="9" spans="1:23" ht="18" thickTop="1" thickBot="1" x14ac:dyDescent="0.35">
      <c r="A9" s="7">
        <v>4</v>
      </c>
      <c r="B9" s="7" t="s">
        <v>21</v>
      </c>
      <c r="C9" s="7" t="s">
        <v>22</v>
      </c>
      <c r="D9" s="10">
        <f>VLOOKUP(A9,'جدول داده ها'!C10:F29,4)</f>
        <v>185</v>
      </c>
      <c r="E9" s="11">
        <f>VLOOKUP(A9,'جدول داده ها'!C10:G29,5)</f>
        <v>6</v>
      </c>
      <c r="F9" s="7">
        <f>VLOOKUP('حقوق و دستمزد'!A9,'جدول داده ها'!C10:H29,6)</f>
        <v>4000000</v>
      </c>
      <c r="G9" s="7">
        <f t="shared" si="0"/>
        <v>109090.90909090909</v>
      </c>
      <c r="H9" s="7">
        <v>300000</v>
      </c>
      <c r="I9" s="12">
        <f>VLOOKUP(A9,'جدول داده ها'!C10:K29,9)</f>
        <v>0</v>
      </c>
      <c r="J9" s="7">
        <f>VLOOKUP(A9,'جدول داده ها'!C10:L29,10)</f>
        <v>100000</v>
      </c>
      <c r="K9" s="7">
        <f>VLOOKUP(A9,'جدول داده ها'!C10:M29,11)</f>
        <v>0</v>
      </c>
      <c r="L9" s="13">
        <f>VLOOKUP(A9,'جدول داده ها'!C10:O29,13)</f>
        <v>0</v>
      </c>
      <c r="M9" s="7">
        <v>0</v>
      </c>
      <c r="N9" s="7">
        <f t="shared" si="1"/>
        <v>4509090.9090909092</v>
      </c>
      <c r="O9" s="7">
        <f t="shared" si="2"/>
        <v>4409090.9090909092</v>
      </c>
      <c r="P9" s="7">
        <f t="shared" si="3"/>
        <v>4509090.9090909092</v>
      </c>
      <c r="Q9" s="7">
        <f t="shared" si="4"/>
        <v>205909.09090909094</v>
      </c>
      <c r="R9" s="7">
        <v>0</v>
      </c>
      <c r="S9" s="7">
        <f t="shared" si="5"/>
        <v>1014090.9090909092</v>
      </c>
      <c r="T9" s="7">
        <f t="shared" si="6"/>
        <v>308636.36363636365</v>
      </c>
      <c r="U9" s="7">
        <f t="shared" si="7"/>
        <v>514545.45454545459</v>
      </c>
      <c r="V9" s="7">
        <f t="shared" si="8"/>
        <v>3994545.4545454546</v>
      </c>
      <c r="W9" s="14"/>
    </row>
    <row r="10" spans="1:23" ht="18" thickTop="1" thickBot="1" x14ac:dyDescent="0.35">
      <c r="A10" s="7">
        <v>5</v>
      </c>
      <c r="B10" s="7" t="s">
        <v>23</v>
      </c>
      <c r="C10" s="7" t="s">
        <v>24</v>
      </c>
      <c r="D10" s="10">
        <f>VLOOKUP(A10,'جدول داده ها'!C11:F30,4)</f>
        <v>185</v>
      </c>
      <c r="E10" s="11">
        <f>VLOOKUP(A10,'جدول داده ها'!C11:G30,5)</f>
        <v>8</v>
      </c>
      <c r="F10" s="7">
        <f>VLOOKUP('حقوق و دستمزد'!A10,'جدول داده ها'!C11:H30,6)</f>
        <v>3000000</v>
      </c>
      <c r="G10" s="7">
        <f t="shared" si="0"/>
        <v>109090.90909090909</v>
      </c>
      <c r="H10" s="7">
        <v>300000</v>
      </c>
      <c r="I10" s="12">
        <f>VLOOKUP(A10,'جدول داده ها'!C11:K30,9)</f>
        <v>440000</v>
      </c>
      <c r="J10" s="7">
        <f>VLOOKUP(A10,'جدول داده ها'!C11:L30,10)</f>
        <v>100000</v>
      </c>
      <c r="K10" s="7">
        <f>VLOOKUP(A10,'جدول داده ها'!C11:M30,11)</f>
        <v>0</v>
      </c>
      <c r="L10" s="13">
        <f>VLOOKUP(A10,'جدول داده ها'!C11:O30,13)</f>
        <v>0</v>
      </c>
      <c r="M10" s="7">
        <v>0</v>
      </c>
      <c r="N10" s="7">
        <f t="shared" si="1"/>
        <v>3949090.9090909092</v>
      </c>
      <c r="O10" s="7">
        <f t="shared" si="2"/>
        <v>3409090.9090909092</v>
      </c>
      <c r="P10" s="7">
        <f t="shared" si="3"/>
        <v>3949090.9090909092</v>
      </c>
      <c r="Q10" s="7">
        <f t="shared" si="4"/>
        <v>149909.09090909091</v>
      </c>
      <c r="R10" s="7">
        <v>0</v>
      </c>
      <c r="S10" s="7">
        <f t="shared" si="5"/>
        <v>784090.90909090918</v>
      </c>
      <c r="T10" s="7">
        <f t="shared" si="6"/>
        <v>238636.36363636368</v>
      </c>
      <c r="U10" s="7">
        <f t="shared" si="7"/>
        <v>388545.45454545459</v>
      </c>
      <c r="V10" s="7">
        <f t="shared" si="8"/>
        <v>3560545.4545454546</v>
      </c>
      <c r="W10" s="14"/>
    </row>
    <row r="11" spans="1:23" ht="18" thickTop="1" thickBot="1" x14ac:dyDescent="0.35">
      <c r="A11" s="7">
        <v>6</v>
      </c>
      <c r="B11" s="7" t="s">
        <v>25</v>
      </c>
      <c r="C11" s="7" t="s">
        <v>26</v>
      </c>
      <c r="D11" s="10">
        <f>VLOOKUP(A11,'جدول داده ها'!C12:F31,4)</f>
        <v>185</v>
      </c>
      <c r="E11" s="11">
        <f>VLOOKUP(A11,'جدول داده ها'!C12:G31,5)</f>
        <v>14</v>
      </c>
      <c r="F11" s="7">
        <f>VLOOKUP('حقوق و دستمزد'!A11,'جدول داده ها'!C12:H31,6)</f>
        <v>2196000</v>
      </c>
      <c r="G11" s="7">
        <f t="shared" si="0"/>
        <v>139745.45454545456</v>
      </c>
      <c r="H11" s="7">
        <v>300000</v>
      </c>
      <c r="I11" s="12">
        <f>VLOOKUP(A11,'جدول داده ها'!C12:K31,9)</f>
        <v>440000</v>
      </c>
      <c r="J11" s="7">
        <f>VLOOKUP(A11,'جدول داده ها'!C12:L31,10)</f>
        <v>100000</v>
      </c>
      <c r="K11" s="7">
        <f>VLOOKUP(A11,'جدول داده ها'!C12:M31,11)</f>
        <v>0</v>
      </c>
      <c r="L11" s="13">
        <f>VLOOKUP(A11,'جدول داده ها'!C12:O31,13)</f>
        <v>0</v>
      </c>
      <c r="M11" s="7">
        <v>0</v>
      </c>
      <c r="N11" s="7">
        <f t="shared" si="1"/>
        <v>3175745.4545454546</v>
      </c>
      <c r="O11" s="7">
        <f t="shared" si="2"/>
        <v>2635745.4545454546</v>
      </c>
      <c r="P11" s="7">
        <f t="shared" si="3"/>
        <v>3175745.4545454546</v>
      </c>
      <c r="Q11" s="7">
        <f t="shared" si="4"/>
        <v>72574.545454545456</v>
      </c>
      <c r="R11" s="7">
        <v>0</v>
      </c>
      <c r="S11" s="7">
        <f t="shared" si="5"/>
        <v>606221.45454545459</v>
      </c>
      <c r="T11" s="7">
        <f t="shared" si="6"/>
        <v>184502.18181818185</v>
      </c>
      <c r="U11" s="7">
        <f t="shared" si="7"/>
        <v>257076.72727272729</v>
      </c>
      <c r="V11" s="7">
        <f t="shared" si="8"/>
        <v>2918668.7272727275</v>
      </c>
      <c r="W11" s="14"/>
    </row>
    <row r="12" spans="1:23" ht="18" thickTop="1" thickBot="1" x14ac:dyDescent="0.35">
      <c r="A12" s="7">
        <v>7</v>
      </c>
      <c r="B12" s="7" t="s">
        <v>27</v>
      </c>
      <c r="C12" s="7" t="s">
        <v>28</v>
      </c>
      <c r="D12" s="10">
        <f>VLOOKUP(A12,'جدول داده ها'!C13:F32,4)</f>
        <v>185</v>
      </c>
      <c r="E12" s="11">
        <f>VLOOKUP(A12,'جدول داده ها'!C13:G32,5)</f>
        <v>18</v>
      </c>
      <c r="F12" s="7">
        <f>VLOOKUP('حقوق و دستمزد'!A12,'جدول داده ها'!C13:H32,6)</f>
        <v>3900000</v>
      </c>
      <c r="G12" s="7">
        <f t="shared" si="0"/>
        <v>319090.90909090912</v>
      </c>
      <c r="H12" s="7">
        <v>300000</v>
      </c>
      <c r="I12" s="12">
        <f>VLOOKUP(A12,'جدول داده ها'!C13:K32,9)</f>
        <v>0</v>
      </c>
      <c r="J12" s="7">
        <f>VLOOKUP(A12,'جدول داده ها'!C13:L32,10)</f>
        <v>100000</v>
      </c>
      <c r="K12" s="7">
        <f>VLOOKUP(A12,'جدول داده ها'!C13:M32,11)</f>
        <v>0</v>
      </c>
      <c r="L12" s="13">
        <f>VLOOKUP(A12,'جدول داده ها'!C13:O32,13)</f>
        <v>0</v>
      </c>
      <c r="M12" s="7">
        <v>0</v>
      </c>
      <c r="N12" s="7">
        <f t="shared" si="1"/>
        <v>4619090.9090909092</v>
      </c>
      <c r="O12" s="7">
        <f t="shared" si="2"/>
        <v>4519090.9090909092</v>
      </c>
      <c r="P12" s="7">
        <f t="shared" si="3"/>
        <v>4619090.9090909092</v>
      </c>
      <c r="Q12" s="7">
        <f t="shared" si="4"/>
        <v>216909.09090909094</v>
      </c>
      <c r="R12" s="7">
        <v>0</v>
      </c>
      <c r="S12" s="7">
        <f t="shared" si="5"/>
        <v>1039390.9090909092</v>
      </c>
      <c r="T12" s="7">
        <f t="shared" si="6"/>
        <v>316336.36363636365</v>
      </c>
      <c r="U12" s="7">
        <f t="shared" si="7"/>
        <v>533245.45454545459</v>
      </c>
      <c r="V12" s="7">
        <f t="shared" si="8"/>
        <v>4085845.4545454546</v>
      </c>
      <c r="W12" s="14"/>
    </row>
    <row r="13" spans="1:23" ht="18" thickTop="1" thickBot="1" x14ac:dyDescent="0.35">
      <c r="A13" s="7">
        <v>8</v>
      </c>
      <c r="B13" s="7" t="s">
        <v>29</v>
      </c>
      <c r="C13" s="7" t="s">
        <v>30</v>
      </c>
      <c r="D13" s="10">
        <f>VLOOKUP(A13,'جدول داده ها'!C14:F33,4)</f>
        <v>185</v>
      </c>
      <c r="E13" s="11">
        <f>VLOOKUP(A13,'جدول داده ها'!C14:G33,5)</f>
        <v>10</v>
      </c>
      <c r="F13" s="7">
        <f>VLOOKUP('حقوق و دستمزد'!A13,'جدول داده ها'!C14:H33,6)</f>
        <v>2500000</v>
      </c>
      <c r="G13" s="7">
        <f t="shared" si="0"/>
        <v>113636.36363636365</v>
      </c>
      <c r="H13" s="7">
        <v>300000</v>
      </c>
      <c r="I13" s="12">
        <f>VLOOKUP(A13,'جدول داده ها'!C14:K33,9)</f>
        <v>0</v>
      </c>
      <c r="J13" s="7">
        <f>VLOOKUP(A13,'جدول داده ها'!C14:L33,10)</f>
        <v>100000</v>
      </c>
      <c r="K13" s="7">
        <f>VLOOKUP(A13,'جدول داده ها'!C14:M33,11)</f>
        <v>300000</v>
      </c>
      <c r="L13" s="13">
        <f>VLOOKUP(A13,'جدول داده ها'!C14:O33,13)</f>
        <v>0</v>
      </c>
      <c r="M13" s="7">
        <v>0</v>
      </c>
      <c r="N13" s="7">
        <f t="shared" si="1"/>
        <v>3313636.3636363638</v>
      </c>
      <c r="O13" s="7">
        <f t="shared" si="2"/>
        <v>3213636.3636363638</v>
      </c>
      <c r="P13" s="7">
        <f t="shared" si="3"/>
        <v>3313636.3636363638</v>
      </c>
      <c r="Q13" s="7">
        <f t="shared" si="4"/>
        <v>86363.636363636382</v>
      </c>
      <c r="R13" s="7">
        <v>0</v>
      </c>
      <c r="S13" s="7">
        <f t="shared" si="5"/>
        <v>739136.36363636365</v>
      </c>
      <c r="T13" s="7">
        <f t="shared" si="6"/>
        <v>224954.54545454547</v>
      </c>
      <c r="U13" s="7">
        <f t="shared" si="7"/>
        <v>311318.18181818188</v>
      </c>
      <c r="V13" s="7">
        <f t="shared" si="8"/>
        <v>3002318.1818181816</v>
      </c>
      <c r="W13" s="14"/>
    </row>
    <row r="14" spans="1:23" ht="18" thickTop="1" thickBot="1" x14ac:dyDescent="0.35">
      <c r="A14" s="7">
        <v>9</v>
      </c>
      <c r="B14" s="7" t="s">
        <v>31</v>
      </c>
      <c r="C14" s="7" t="s">
        <v>32</v>
      </c>
      <c r="D14" s="10">
        <f>VLOOKUP(A14,'جدول داده ها'!C15:F34,4)</f>
        <v>185</v>
      </c>
      <c r="E14" s="11">
        <f>VLOOKUP(A14,'جدول داده ها'!C15:G34,5)</f>
        <v>12</v>
      </c>
      <c r="F14" s="7">
        <f>VLOOKUP('حقوق و دستمزد'!A14,'جدول داده ها'!C15:H34,6)</f>
        <v>3000000</v>
      </c>
      <c r="G14" s="7">
        <f t="shared" si="0"/>
        <v>163636.36363636365</v>
      </c>
      <c r="H14" s="7">
        <v>300000</v>
      </c>
      <c r="I14" s="12">
        <f>VLOOKUP(A14,'جدول داده ها'!C15:K34,9)</f>
        <v>0</v>
      </c>
      <c r="J14" s="7">
        <f>VLOOKUP(A14,'جدول داده ها'!C15:L34,10)</f>
        <v>100000</v>
      </c>
      <c r="K14" s="7">
        <f>VLOOKUP(A14,'جدول داده ها'!C15:M34,11)</f>
        <v>350000</v>
      </c>
      <c r="L14" s="13">
        <f>VLOOKUP(A14,'جدول داده ها'!C15:O34,13)</f>
        <v>0</v>
      </c>
      <c r="M14" s="7">
        <v>0</v>
      </c>
      <c r="N14" s="7">
        <f t="shared" si="1"/>
        <v>3913636.3636363638</v>
      </c>
      <c r="O14" s="7">
        <f t="shared" si="2"/>
        <v>3813636.3636363638</v>
      </c>
      <c r="P14" s="7">
        <f t="shared" si="3"/>
        <v>3913636.3636363638</v>
      </c>
      <c r="Q14" s="7">
        <f t="shared" si="4"/>
        <v>146363.63636363638</v>
      </c>
      <c r="R14" s="7">
        <v>0</v>
      </c>
      <c r="S14" s="7">
        <f t="shared" si="5"/>
        <v>877136.36363636365</v>
      </c>
      <c r="T14" s="7">
        <f t="shared" si="6"/>
        <v>266954.54545454547</v>
      </c>
      <c r="U14" s="7">
        <f t="shared" si="7"/>
        <v>413318.18181818188</v>
      </c>
      <c r="V14" s="7">
        <f t="shared" si="8"/>
        <v>3500318.1818181816</v>
      </c>
      <c r="W14" s="14"/>
    </row>
    <row r="15" spans="1:23" ht="18" thickTop="1" thickBot="1" x14ac:dyDescent="0.35">
      <c r="A15" s="7">
        <v>10</v>
      </c>
      <c r="B15" s="7" t="s">
        <v>33</v>
      </c>
      <c r="C15" s="7" t="s">
        <v>34</v>
      </c>
      <c r="D15" s="10">
        <f>VLOOKUP(A15,'جدول داده ها'!C16:F35,4)</f>
        <v>185</v>
      </c>
      <c r="E15" s="11">
        <f>VLOOKUP(A15,'جدول داده ها'!C16:G35,5)</f>
        <v>11</v>
      </c>
      <c r="F15" s="7">
        <f>VLOOKUP('حقوق و دستمزد'!A15,'جدول داده ها'!C16:H35,6)</f>
        <v>3350000</v>
      </c>
      <c r="G15" s="7">
        <f t="shared" si="0"/>
        <v>167500</v>
      </c>
      <c r="H15" s="7">
        <v>300000</v>
      </c>
      <c r="I15" s="12">
        <f>VLOOKUP(A15,'جدول داده ها'!C16:K35,9)</f>
        <v>0</v>
      </c>
      <c r="J15" s="7">
        <f>VLOOKUP(A15,'جدول داده ها'!C16:L35,10)</f>
        <v>100000</v>
      </c>
      <c r="K15" s="7">
        <f>VLOOKUP(A15,'جدول داده ها'!C16:M35,11)</f>
        <v>450000</v>
      </c>
      <c r="L15" s="13">
        <f>VLOOKUP(A15,'جدول داده ها'!C16:O35,13)</f>
        <v>0</v>
      </c>
      <c r="M15" s="7">
        <v>0</v>
      </c>
      <c r="N15" s="7">
        <f t="shared" si="1"/>
        <v>4367500</v>
      </c>
      <c r="O15" s="7">
        <f t="shared" si="2"/>
        <v>4267500</v>
      </c>
      <c r="P15" s="7">
        <f t="shared" si="3"/>
        <v>4367500</v>
      </c>
      <c r="Q15" s="7">
        <f t="shared" si="4"/>
        <v>191750</v>
      </c>
      <c r="R15" s="7">
        <v>0</v>
      </c>
      <c r="S15" s="7">
        <f t="shared" si="5"/>
        <v>981525</v>
      </c>
      <c r="T15" s="7">
        <f t="shared" si="6"/>
        <v>298725</v>
      </c>
      <c r="U15" s="7">
        <f t="shared" si="7"/>
        <v>490475</v>
      </c>
      <c r="V15" s="7">
        <f t="shared" si="8"/>
        <v>3877025</v>
      </c>
      <c r="W15" s="14"/>
    </row>
    <row r="16" spans="1:23" ht="18" thickTop="1" thickBot="1" x14ac:dyDescent="0.35">
      <c r="A16" s="7">
        <v>11</v>
      </c>
      <c r="B16" s="7" t="s">
        <v>35</v>
      </c>
      <c r="C16" s="7" t="s">
        <v>36</v>
      </c>
      <c r="D16" s="10">
        <f>VLOOKUP(A16,'جدول داده ها'!C17:F36,4)</f>
        <v>185</v>
      </c>
      <c r="E16" s="11">
        <f>VLOOKUP(A16,'جدول داده ها'!C17:G36,5)</f>
        <v>3</v>
      </c>
      <c r="F16" s="7">
        <f>VLOOKUP('حقوق و دستمزد'!A16,'جدول داده ها'!C17:H36,6)</f>
        <v>4260000</v>
      </c>
      <c r="G16" s="7">
        <f t="shared" si="0"/>
        <v>58090.909090909088</v>
      </c>
      <c r="H16" s="7">
        <v>300000</v>
      </c>
      <c r="I16" s="12">
        <f>VLOOKUP(A16,'جدول داده ها'!C17:K36,9)</f>
        <v>220000</v>
      </c>
      <c r="J16" s="7">
        <f>VLOOKUP(A16,'جدول داده ها'!C17:L36,10)</f>
        <v>100000</v>
      </c>
      <c r="K16" s="7">
        <f>VLOOKUP(A16,'جدول داده ها'!C17:M36,11)</f>
        <v>0</v>
      </c>
      <c r="L16" s="13">
        <f>VLOOKUP(A16,'جدول داده ها'!C17:O36,13)</f>
        <v>0</v>
      </c>
      <c r="M16" s="7">
        <v>0</v>
      </c>
      <c r="N16" s="7">
        <f t="shared" si="1"/>
        <v>4938090.9090909092</v>
      </c>
      <c r="O16" s="7">
        <f t="shared" si="2"/>
        <v>4618090.9090909092</v>
      </c>
      <c r="P16" s="7">
        <f t="shared" si="3"/>
        <v>4938090.9090909092</v>
      </c>
      <c r="Q16" s="7">
        <f t="shared" si="4"/>
        <v>248809.09090909094</v>
      </c>
      <c r="R16" s="7">
        <v>0</v>
      </c>
      <c r="S16" s="7">
        <f t="shared" si="5"/>
        <v>1062160.9090909092</v>
      </c>
      <c r="T16" s="7">
        <f t="shared" si="6"/>
        <v>323266.36363636365</v>
      </c>
      <c r="U16" s="7">
        <f t="shared" si="7"/>
        <v>572075.45454545459</v>
      </c>
      <c r="V16" s="7">
        <f t="shared" si="8"/>
        <v>4366015.4545454551</v>
      </c>
      <c r="W16" s="14"/>
    </row>
    <row r="17" spans="1:23" ht="18" thickTop="1" thickBot="1" x14ac:dyDescent="0.35">
      <c r="A17" s="7">
        <v>12</v>
      </c>
      <c r="B17" s="7" t="s">
        <v>37</v>
      </c>
      <c r="C17" s="7" t="s">
        <v>38</v>
      </c>
      <c r="D17" s="10">
        <f>VLOOKUP(A17,'جدول داده ها'!C18:F37,4)</f>
        <v>185</v>
      </c>
      <c r="E17" s="11">
        <f>VLOOKUP(A17,'جدول داده ها'!C18:G37,5)</f>
        <v>22</v>
      </c>
      <c r="F17" s="7">
        <f>VLOOKUP('حقوق و دستمزد'!A17,'جدول داده ها'!C18:H37,6)</f>
        <v>3566000</v>
      </c>
      <c r="G17" s="7">
        <f t="shared" si="0"/>
        <v>356600</v>
      </c>
      <c r="H17" s="7">
        <v>300000</v>
      </c>
      <c r="I17" s="12">
        <f>VLOOKUP(A17,'جدول داده ها'!C18:K37,9)</f>
        <v>440000</v>
      </c>
      <c r="J17" s="7">
        <f>VLOOKUP(A17,'جدول داده ها'!C18:L37,10)</f>
        <v>100000</v>
      </c>
      <c r="K17" s="7">
        <f>VLOOKUP(A17,'جدول داده ها'!C18:M37,11)</f>
        <v>0</v>
      </c>
      <c r="L17" s="13">
        <f>VLOOKUP(A17,'جدول داده ها'!C18:O37,13)</f>
        <v>0</v>
      </c>
      <c r="M17" s="7">
        <v>0</v>
      </c>
      <c r="N17" s="7">
        <f t="shared" si="1"/>
        <v>4762600</v>
      </c>
      <c r="O17" s="7">
        <f t="shared" si="2"/>
        <v>4222600</v>
      </c>
      <c r="P17" s="7">
        <f t="shared" si="3"/>
        <v>4762600</v>
      </c>
      <c r="Q17" s="7">
        <f t="shared" si="4"/>
        <v>231260</v>
      </c>
      <c r="R17" s="7">
        <v>0</v>
      </c>
      <c r="S17" s="7">
        <f t="shared" si="5"/>
        <v>971198</v>
      </c>
      <c r="T17" s="7">
        <f t="shared" si="6"/>
        <v>295582</v>
      </c>
      <c r="U17" s="7">
        <f t="shared" si="7"/>
        <v>526842</v>
      </c>
      <c r="V17" s="7">
        <f t="shared" si="8"/>
        <v>4235758</v>
      </c>
      <c r="W17" s="14"/>
    </row>
    <row r="18" spans="1:23" ht="18" thickTop="1" thickBot="1" x14ac:dyDescent="0.35">
      <c r="A18" s="7">
        <v>13</v>
      </c>
      <c r="B18" s="7" t="s">
        <v>39</v>
      </c>
      <c r="C18" s="7" t="s">
        <v>40</v>
      </c>
      <c r="D18" s="10">
        <f>VLOOKUP(A18,'جدول داده ها'!C19:F38,4)</f>
        <v>185</v>
      </c>
      <c r="E18" s="11">
        <f>VLOOKUP(A18,'جدول داده ها'!C19:G38,5)</f>
        <v>21</v>
      </c>
      <c r="F18" s="7">
        <f>VLOOKUP('حقوق و دستمزد'!A18,'جدول داده ها'!C19:H38,6)</f>
        <v>2200000</v>
      </c>
      <c r="G18" s="7">
        <f t="shared" si="0"/>
        <v>210000</v>
      </c>
      <c r="H18" s="7">
        <v>300000</v>
      </c>
      <c r="I18" s="12">
        <f>VLOOKUP(A18,'جدول داده ها'!C19:K38,9)</f>
        <v>0</v>
      </c>
      <c r="J18" s="7">
        <f>VLOOKUP(A18,'جدول داده ها'!C19:L38,10)</f>
        <v>100000</v>
      </c>
      <c r="K18" s="7">
        <f>VLOOKUP(A18,'جدول داده ها'!C19:M38,11)</f>
        <v>0</v>
      </c>
      <c r="L18" s="13">
        <f>VLOOKUP(A18,'جدول داده ها'!C19:O38,13)</f>
        <v>0</v>
      </c>
      <c r="M18" s="7">
        <v>0</v>
      </c>
      <c r="N18" s="7">
        <f t="shared" si="1"/>
        <v>2810000</v>
      </c>
      <c r="O18" s="7">
        <f t="shared" si="2"/>
        <v>2710000</v>
      </c>
      <c r="P18" s="7">
        <f t="shared" si="3"/>
        <v>2810000</v>
      </c>
      <c r="Q18" s="7">
        <f t="shared" si="4"/>
        <v>36000</v>
      </c>
      <c r="R18" s="7">
        <v>0</v>
      </c>
      <c r="S18" s="7">
        <f t="shared" si="5"/>
        <v>623300</v>
      </c>
      <c r="T18" s="7">
        <f t="shared" si="6"/>
        <v>189700.00000000003</v>
      </c>
      <c r="U18" s="7">
        <f t="shared" si="7"/>
        <v>225700.00000000003</v>
      </c>
      <c r="V18" s="7">
        <f t="shared" si="8"/>
        <v>2584300</v>
      </c>
      <c r="W18" s="14"/>
    </row>
    <row r="19" spans="1:23" ht="18" thickTop="1" thickBot="1" x14ac:dyDescent="0.35">
      <c r="A19" s="7">
        <v>14</v>
      </c>
      <c r="B19" s="7" t="s">
        <v>41</v>
      </c>
      <c r="C19" s="7" t="s">
        <v>42</v>
      </c>
      <c r="D19" s="10">
        <f>VLOOKUP(A19,'جدول داده ها'!C20:F39,4)</f>
        <v>185</v>
      </c>
      <c r="E19" s="11">
        <f>VLOOKUP(A19,'جدول داده ها'!C20:G39,5)</f>
        <v>10</v>
      </c>
      <c r="F19" s="7">
        <f>VLOOKUP('حقوق و دستمزد'!A19,'جدول داده ها'!C20:H39,6)</f>
        <v>2300000</v>
      </c>
      <c r="G19" s="7">
        <f t="shared" si="0"/>
        <v>104545.45454545454</v>
      </c>
      <c r="H19" s="7">
        <v>300000</v>
      </c>
      <c r="I19" s="12">
        <f>VLOOKUP(A19,'جدول داده ها'!C20:K39,9)</f>
        <v>440000</v>
      </c>
      <c r="J19" s="7">
        <f>VLOOKUP(A19,'جدول داده ها'!C20:L39,10)</f>
        <v>100000</v>
      </c>
      <c r="K19" s="7">
        <f>VLOOKUP(A19,'جدول داده ها'!C20:M39,11)</f>
        <v>0</v>
      </c>
      <c r="L19" s="13">
        <f>VLOOKUP(A19,'جدول داده ها'!C20:O39,13)</f>
        <v>0</v>
      </c>
      <c r="M19" s="7">
        <v>0</v>
      </c>
      <c r="N19" s="7">
        <f t="shared" si="1"/>
        <v>3244545.4545454546</v>
      </c>
      <c r="O19" s="7">
        <f t="shared" si="2"/>
        <v>2704545.4545454546</v>
      </c>
      <c r="P19" s="7">
        <f t="shared" si="3"/>
        <v>3244545.4545454546</v>
      </c>
      <c r="Q19" s="7">
        <f t="shared" si="4"/>
        <v>79454.54545454547</v>
      </c>
      <c r="R19" s="7">
        <v>0</v>
      </c>
      <c r="S19" s="7">
        <f t="shared" si="5"/>
        <v>622045.45454545459</v>
      </c>
      <c r="T19" s="7">
        <f t="shared" si="6"/>
        <v>189318.18181818185</v>
      </c>
      <c r="U19" s="7">
        <f t="shared" si="7"/>
        <v>268772.72727272729</v>
      </c>
      <c r="V19" s="7">
        <f t="shared" si="8"/>
        <v>2975772.7272727275</v>
      </c>
      <c r="W19" s="14"/>
    </row>
    <row r="20" spans="1:23" ht="18" thickTop="1" thickBot="1" x14ac:dyDescent="0.35">
      <c r="A20" s="7">
        <v>15</v>
      </c>
      <c r="B20" s="7" t="s">
        <v>43</v>
      </c>
      <c r="C20" s="7" t="s">
        <v>44</v>
      </c>
      <c r="D20" s="10">
        <f>VLOOKUP(A20,'جدول داده ها'!C21:F40,4)</f>
        <v>185</v>
      </c>
      <c r="E20" s="11">
        <f>VLOOKUP(A20,'جدول داده ها'!C21:G40,5)</f>
        <v>15</v>
      </c>
      <c r="F20" s="7">
        <f>VLOOKUP('حقوق و دستمزد'!A20,'جدول داده ها'!C21:H40,6)</f>
        <v>2600000</v>
      </c>
      <c r="G20" s="7">
        <f t="shared" si="0"/>
        <v>177272.72727272726</v>
      </c>
      <c r="H20" s="7">
        <v>300000</v>
      </c>
      <c r="I20" s="12">
        <f>VLOOKUP(A20,'جدول داده ها'!C21:K40,9)</f>
        <v>220000</v>
      </c>
      <c r="J20" s="7">
        <f>VLOOKUP(A20,'جدول داده ها'!C21:L40,10)</f>
        <v>100000</v>
      </c>
      <c r="K20" s="7">
        <f>VLOOKUP(A20,'جدول داده ها'!C21:M40,11)</f>
        <v>100000</v>
      </c>
      <c r="L20" s="13">
        <f>VLOOKUP(A20,'جدول داده ها'!C21:O40,13)</f>
        <v>0</v>
      </c>
      <c r="M20" s="7">
        <v>0</v>
      </c>
      <c r="N20" s="7">
        <f t="shared" si="1"/>
        <v>3497272.7272727271</v>
      </c>
      <c r="O20" s="7">
        <f t="shared" si="2"/>
        <v>3177272.7272727271</v>
      </c>
      <c r="P20" s="7">
        <f t="shared" si="3"/>
        <v>3497272.7272727271</v>
      </c>
      <c r="Q20" s="7">
        <f t="shared" si="4"/>
        <v>104727.27272727271</v>
      </c>
      <c r="R20" s="7">
        <v>0</v>
      </c>
      <c r="S20" s="7">
        <f t="shared" si="5"/>
        <v>730772.72727272729</v>
      </c>
      <c r="T20" s="7">
        <f t="shared" si="6"/>
        <v>222409.09090909091</v>
      </c>
      <c r="U20" s="7">
        <f t="shared" si="7"/>
        <v>327136.36363636365</v>
      </c>
      <c r="V20" s="7">
        <f t="shared" si="8"/>
        <v>3170136.3636363633</v>
      </c>
      <c r="W20" s="14"/>
    </row>
    <row r="21" spans="1:23" ht="18" thickTop="1" thickBot="1" x14ac:dyDescent="0.35">
      <c r="A21" s="7">
        <v>16</v>
      </c>
      <c r="B21" s="7" t="s">
        <v>45</v>
      </c>
      <c r="C21" s="7" t="s">
        <v>26</v>
      </c>
      <c r="D21" s="10">
        <f>VLOOKUP(A21,'جدول داده ها'!C22:F41,4)</f>
        <v>185</v>
      </c>
      <c r="E21" s="11">
        <f>VLOOKUP(A21,'جدول داده ها'!C22:G41,5)</f>
        <v>16</v>
      </c>
      <c r="F21" s="7">
        <f>VLOOKUP('حقوق و دستمزد'!A21,'جدول داده ها'!C22:H41,6)</f>
        <v>2950000</v>
      </c>
      <c r="G21" s="7">
        <f t="shared" si="0"/>
        <v>214545.45454545456</v>
      </c>
      <c r="H21" s="7">
        <v>300000</v>
      </c>
      <c r="I21" s="12">
        <f>VLOOKUP(A21,'جدول داده ها'!C22:K41,9)</f>
        <v>440000</v>
      </c>
      <c r="J21" s="7">
        <f>VLOOKUP(A21,'جدول داده ها'!C22:L41,10)</f>
        <v>100000</v>
      </c>
      <c r="K21" s="7">
        <f>VLOOKUP(A21,'جدول داده ها'!C22:M41,11)</f>
        <v>200000</v>
      </c>
      <c r="L21" s="13">
        <f>VLOOKUP(A21,'جدول داده ها'!C22:O41,13)</f>
        <v>2100000</v>
      </c>
      <c r="M21" s="7">
        <v>0</v>
      </c>
      <c r="N21" s="7">
        <f t="shared" si="1"/>
        <v>4204545.4545454551</v>
      </c>
      <c r="O21" s="7">
        <f t="shared" si="2"/>
        <v>3664545.4545454546</v>
      </c>
      <c r="P21" s="7">
        <f t="shared" si="3"/>
        <v>6304545.4545454551</v>
      </c>
      <c r="Q21" s="7">
        <f t="shared" si="4"/>
        <v>175454.54545454553</v>
      </c>
      <c r="R21" s="7">
        <v>0</v>
      </c>
      <c r="S21" s="7">
        <f t="shared" si="5"/>
        <v>842845.45454545459</v>
      </c>
      <c r="T21" s="7">
        <f t="shared" si="6"/>
        <v>256518.18181818185</v>
      </c>
      <c r="U21" s="7">
        <f t="shared" si="7"/>
        <v>431972.72727272741</v>
      </c>
      <c r="V21" s="7">
        <f t="shared" si="8"/>
        <v>5872572.7272727275</v>
      </c>
      <c r="W21" s="14"/>
    </row>
    <row r="22" spans="1:23" ht="18" thickTop="1" thickBot="1" x14ac:dyDescent="0.35">
      <c r="A22" s="7">
        <v>17</v>
      </c>
      <c r="B22" s="7" t="s">
        <v>46</v>
      </c>
      <c r="C22" s="7" t="s">
        <v>47</v>
      </c>
      <c r="D22" s="10">
        <f>VLOOKUP(A22,'جدول داده ها'!C23:F42,4)</f>
        <v>185</v>
      </c>
      <c r="E22" s="11">
        <f>VLOOKUP(A22,'جدول داده ها'!C23:G42,5)</f>
        <v>20</v>
      </c>
      <c r="F22" s="7">
        <f>VLOOKUP('حقوق و دستمزد'!A22,'جدول داده ها'!C23:H42,6)</f>
        <v>5000000</v>
      </c>
      <c r="G22" s="7">
        <f t="shared" si="0"/>
        <v>454545.45454545459</v>
      </c>
      <c r="H22" s="7">
        <v>300000</v>
      </c>
      <c r="I22" s="12">
        <f>VLOOKUP(A22,'جدول داده ها'!C23:K42,9)</f>
        <v>440000</v>
      </c>
      <c r="J22" s="7">
        <f>VLOOKUP(A22,'جدول داده ها'!C23:L42,10)</f>
        <v>100000</v>
      </c>
      <c r="K22" s="7">
        <f>VLOOKUP(A22,'جدول داده ها'!C23:M42,11)</f>
        <v>150000</v>
      </c>
      <c r="L22" s="13">
        <f>VLOOKUP(A22,'جدول داده ها'!C23:O42,13)</f>
        <v>1000000</v>
      </c>
      <c r="M22" s="7">
        <v>0</v>
      </c>
      <c r="N22" s="7">
        <f t="shared" si="1"/>
        <v>6444545.4545454551</v>
      </c>
      <c r="O22" s="7">
        <f t="shared" si="2"/>
        <v>5904545.4545454551</v>
      </c>
      <c r="P22" s="7">
        <f t="shared" si="3"/>
        <v>7444545.4545454551</v>
      </c>
      <c r="Q22" s="7">
        <f t="shared" si="4"/>
        <v>448909.090909091</v>
      </c>
      <c r="R22" s="7">
        <v>0</v>
      </c>
      <c r="S22" s="7">
        <f t="shared" si="5"/>
        <v>1358045.4545454548</v>
      </c>
      <c r="T22" s="7">
        <f t="shared" si="6"/>
        <v>413318.18181818188</v>
      </c>
      <c r="U22" s="7">
        <f t="shared" si="7"/>
        <v>862227.27272727294</v>
      </c>
      <c r="V22" s="7">
        <f t="shared" si="8"/>
        <v>6582318.1818181816</v>
      </c>
      <c r="W22" s="14"/>
    </row>
    <row r="23" spans="1:23" ht="18" thickTop="1" thickBot="1" x14ac:dyDescent="0.35">
      <c r="A23" s="7">
        <v>18</v>
      </c>
      <c r="B23" s="7" t="s">
        <v>48</v>
      </c>
      <c r="C23" s="7" t="s">
        <v>49</v>
      </c>
      <c r="D23" s="10">
        <f>VLOOKUP(A23,'جدول داده ها'!C24:F43,4)</f>
        <v>185</v>
      </c>
      <c r="E23" s="11">
        <f>VLOOKUP(A23,'جدول داده ها'!C24:G43,5)</f>
        <v>20</v>
      </c>
      <c r="F23" s="7">
        <f>VLOOKUP('حقوق و دستمزد'!A23,'جدول داده ها'!C24:H43,6)</f>
        <v>5500000</v>
      </c>
      <c r="G23" s="7">
        <f t="shared" si="0"/>
        <v>500000</v>
      </c>
      <c r="H23" s="7">
        <v>300000</v>
      </c>
      <c r="I23" s="12">
        <f>VLOOKUP(A23,'جدول داده ها'!C24:K43,9)</f>
        <v>440000</v>
      </c>
      <c r="J23" s="7">
        <f>VLOOKUP(A23,'جدول داده ها'!C24:L43,10)</f>
        <v>100000</v>
      </c>
      <c r="K23" s="7">
        <f>VLOOKUP(A23,'جدول داده ها'!C24:M43,11)</f>
        <v>0</v>
      </c>
      <c r="L23" s="13">
        <f>VLOOKUP(A23,'جدول داده ها'!C24:O43,13)</f>
        <v>1200000</v>
      </c>
      <c r="M23" s="7">
        <v>0</v>
      </c>
      <c r="N23" s="7">
        <f t="shared" si="1"/>
        <v>6840000</v>
      </c>
      <c r="O23" s="7">
        <f t="shared" si="2"/>
        <v>6300000</v>
      </c>
      <c r="P23" s="7">
        <f t="shared" si="3"/>
        <v>8040000</v>
      </c>
      <c r="Q23" s="7">
        <f t="shared" si="4"/>
        <v>528000</v>
      </c>
      <c r="R23" s="7">
        <v>0</v>
      </c>
      <c r="S23" s="7">
        <f t="shared" si="5"/>
        <v>1449000</v>
      </c>
      <c r="T23" s="7">
        <f t="shared" si="6"/>
        <v>441000.00000000006</v>
      </c>
      <c r="U23" s="7">
        <f t="shared" si="7"/>
        <v>969000</v>
      </c>
      <c r="V23" s="7">
        <f t="shared" si="8"/>
        <v>7071000</v>
      </c>
      <c r="W23" s="14"/>
    </row>
    <row r="24" spans="1:23" ht="18" thickTop="1" thickBot="1" x14ac:dyDescent="0.35">
      <c r="A24" s="7">
        <v>19</v>
      </c>
      <c r="B24" s="7" t="s">
        <v>50</v>
      </c>
      <c r="C24" s="7" t="s">
        <v>16</v>
      </c>
      <c r="D24" s="10">
        <f>VLOOKUP(A24,'جدول داده ها'!C25:F44,4)</f>
        <v>185</v>
      </c>
      <c r="E24" s="11">
        <f>VLOOKUP(A24,'جدول داده ها'!C25:G44,5)</f>
        <v>21</v>
      </c>
      <c r="F24" s="7">
        <f>VLOOKUP('حقوق و دستمزد'!A24,'جدول داده ها'!C25:H44,6)</f>
        <v>2356000</v>
      </c>
      <c r="G24" s="7">
        <f t="shared" si="0"/>
        <v>224890.90909090912</v>
      </c>
      <c r="H24" s="7">
        <v>300000</v>
      </c>
      <c r="I24" s="12">
        <f>VLOOKUP(A24,'جدول داده ها'!C25:K44,9)</f>
        <v>220000</v>
      </c>
      <c r="J24" s="7">
        <f>VLOOKUP(A24,'جدول داده ها'!C25:L44,10)</f>
        <v>100000</v>
      </c>
      <c r="K24" s="7">
        <f>VLOOKUP(A24,'جدول داده ها'!C25:M44,11)</f>
        <v>0</v>
      </c>
      <c r="L24" s="13">
        <f>VLOOKUP(A24,'جدول داده ها'!C25:O44,13)</f>
        <v>0</v>
      </c>
      <c r="M24" s="7">
        <v>0</v>
      </c>
      <c r="N24" s="7">
        <f t="shared" si="1"/>
        <v>3200890.9090909092</v>
      </c>
      <c r="O24" s="7">
        <f t="shared" si="2"/>
        <v>2880890.9090909092</v>
      </c>
      <c r="P24" s="7">
        <f t="shared" si="3"/>
        <v>3200890.9090909092</v>
      </c>
      <c r="Q24" s="7">
        <f t="shared" si="4"/>
        <v>75089.090909090926</v>
      </c>
      <c r="R24" s="7">
        <v>0</v>
      </c>
      <c r="S24" s="7">
        <f t="shared" si="5"/>
        <v>662604.90909090918</v>
      </c>
      <c r="T24" s="7">
        <f t="shared" si="6"/>
        <v>201662.36363636365</v>
      </c>
      <c r="U24" s="7">
        <f t="shared" si="7"/>
        <v>276751.45454545459</v>
      </c>
      <c r="V24" s="7">
        <f t="shared" si="8"/>
        <v>2924139.4545454546</v>
      </c>
      <c r="W24" s="14"/>
    </row>
    <row r="25" spans="1:23" ht="18" thickTop="1" thickBot="1" x14ac:dyDescent="0.35">
      <c r="A25" s="13">
        <v>20</v>
      </c>
      <c r="B25" s="13" t="s">
        <v>68</v>
      </c>
      <c r="C25" s="13" t="s">
        <v>69</v>
      </c>
      <c r="D25" s="10">
        <f>VLOOKUP(A25,'جدول داده ها'!C26:F45,4)</f>
        <v>185</v>
      </c>
      <c r="E25" s="11">
        <f>VLOOKUP(A25,'جدول داده ها'!C26:G45,5)</f>
        <v>22</v>
      </c>
      <c r="F25" s="7">
        <f>VLOOKUP('حقوق و دستمزد'!A25,'جدول داده ها'!C26:H45,6)</f>
        <v>2558000</v>
      </c>
      <c r="G25" s="7">
        <f t="shared" si="0"/>
        <v>255800</v>
      </c>
      <c r="H25" s="7">
        <v>0</v>
      </c>
      <c r="I25" s="12">
        <f>VLOOKUP(A25,'جدول داده ها'!C26:K45,9)</f>
        <v>0</v>
      </c>
      <c r="J25" s="7">
        <f>VLOOKUP(A25,'جدول داده ها'!C26:L45,10)</f>
        <v>100000</v>
      </c>
      <c r="K25" s="7">
        <f>VLOOKUP(A25,'جدول داده ها'!C26:M45,11)</f>
        <v>0</v>
      </c>
      <c r="L25" s="13">
        <f>VLOOKUP(A25,'جدول داده ها'!C26:O45,13)</f>
        <v>0</v>
      </c>
      <c r="M25" s="7">
        <f t="shared" ref="M25" si="9">L25*100000</f>
        <v>0</v>
      </c>
      <c r="N25" s="7">
        <f t="shared" si="1"/>
        <v>2913800</v>
      </c>
      <c r="O25" s="7">
        <f t="shared" si="2"/>
        <v>2813800</v>
      </c>
      <c r="P25" s="7">
        <f t="shared" si="3"/>
        <v>2913800</v>
      </c>
      <c r="Q25" s="7">
        <f t="shared" si="4"/>
        <v>46380</v>
      </c>
      <c r="R25" s="7">
        <v>0</v>
      </c>
      <c r="S25" s="7">
        <f t="shared" si="5"/>
        <v>647174</v>
      </c>
      <c r="T25" s="7">
        <f t="shared" si="6"/>
        <v>196966.00000000003</v>
      </c>
      <c r="U25" s="7">
        <f t="shared" si="7"/>
        <v>243346.00000000003</v>
      </c>
      <c r="V25" s="7">
        <f t="shared" si="8"/>
        <v>2670454</v>
      </c>
      <c r="W25" s="14"/>
    </row>
    <row r="26" spans="1:23" ht="18" thickTop="1" thickBot="1" x14ac:dyDescent="0.35">
      <c r="A26" s="35" t="s">
        <v>71</v>
      </c>
      <c r="B26" s="36"/>
      <c r="C26" s="37"/>
      <c r="D26" s="26">
        <f>SUM(D6:D25)</f>
        <v>3700</v>
      </c>
      <c r="E26" s="26">
        <f>SUM(E6:E25)</f>
        <v>305</v>
      </c>
      <c r="F26" s="26">
        <f>SUM(F6:F25)</f>
        <v>65736000</v>
      </c>
      <c r="G26" s="26">
        <f>SUM(G6)</f>
        <v>409090.90909090912</v>
      </c>
      <c r="H26" s="26">
        <f t="shared" ref="H26:N26" si="10">SUM(H6:H25)</f>
        <v>5700000</v>
      </c>
      <c r="I26" s="26">
        <f t="shared" si="10"/>
        <v>4620000</v>
      </c>
      <c r="J26" s="26">
        <f t="shared" si="10"/>
        <v>2000000</v>
      </c>
      <c r="K26" s="26">
        <f t="shared" si="10"/>
        <v>2800000</v>
      </c>
      <c r="L26" s="26">
        <f t="shared" si="10"/>
        <v>5800000</v>
      </c>
      <c r="M26" s="26">
        <f t="shared" si="10"/>
        <v>0</v>
      </c>
      <c r="N26" s="26">
        <f t="shared" si="10"/>
        <v>85447718.181818187</v>
      </c>
      <c r="O26" s="26">
        <f t="shared" ref="O26:V26" si="11">SUM(O6:O25)</f>
        <v>78827718.181818172</v>
      </c>
      <c r="P26" s="26">
        <f t="shared" si="11"/>
        <v>91247718.181818187</v>
      </c>
      <c r="Q26" s="26">
        <f t="shared" si="11"/>
        <v>3791135.4545454546</v>
      </c>
      <c r="R26" s="26">
        <f t="shared" si="11"/>
        <v>0</v>
      </c>
      <c r="S26" s="26">
        <f t="shared" si="11"/>
        <v>18130375.181818184</v>
      </c>
      <c r="T26" s="26">
        <f t="shared" si="11"/>
        <v>5517940.2727272725</v>
      </c>
      <c r="U26" s="26">
        <f t="shared" si="11"/>
        <v>9309075.7272727285</v>
      </c>
      <c r="V26" s="26">
        <f t="shared" si="11"/>
        <v>81938642.454545438</v>
      </c>
      <c r="W26" s="14"/>
    </row>
    <row r="27" spans="1:23" ht="17.25" thickTop="1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4"/>
    </row>
  </sheetData>
  <mergeCells count="10">
    <mergeCell ref="A26:C26"/>
    <mergeCell ref="A4:C4"/>
    <mergeCell ref="Q4:T4"/>
    <mergeCell ref="U4:U5"/>
    <mergeCell ref="V4:V5"/>
    <mergeCell ref="D4:E4"/>
    <mergeCell ref="F4:M4"/>
    <mergeCell ref="N4:N5"/>
    <mergeCell ref="O4:O5"/>
    <mergeCell ref="P4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M18"/>
  <sheetViews>
    <sheetView rightToLeft="1" tabSelected="1" workbookViewId="0">
      <selection activeCell="I4" sqref="I4:M4"/>
    </sheetView>
  </sheetViews>
  <sheetFormatPr defaultRowHeight="15" x14ac:dyDescent="0.25"/>
  <cols>
    <col min="1" max="1" width="13.7109375" customWidth="1"/>
    <col min="4" max="4" width="12.140625" bestFit="1" customWidth="1"/>
    <col min="7" max="7" width="10.140625" customWidth="1"/>
  </cols>
  <sheetData>
    <row r="1" spans="1:13" ht="39" customHeight="1" x14ac:dyDescent="0.25">
      <c r="A1" s="16">
        <v>8</v>
      </c>
    </row>
    <row r="3" spans="1:13" ht="15.75" thickBot="1" x14ac:dyDescent="0.3"/>
    <row r="4" spans="1:13" ht="24.75" thickTop="1" thickBot="1" x14ac:dyDescent="0.3">
      <c r="D4" s="21" t="str">
        <f>CHOOSE(A1,"فروردین","اردیبهشت","خردار","تیر","مرداد","شهریور","مهر","آبان","آذر","دی","بهمن","اسفند")</f>
        <v>آبان</v>
      </c>
      <c r="E4" s="20">
        <v>1399</v>
      </c>
      <c r="F4" s="17">
        <v>20</v>
      </c>
      <c r="G4" s="18" t="str">
        <f>VLOOKUP(F4,'جدول داده ها'!C7:D26,2)</f>
        <v>محمد تقی</v>
      </c>
      <c r="H4" s="19" t="str">
        <f>VLOOKUP(F4,'جدول داده ها'!C7:E26,3)</f>
        <v>بهار</v>
      </c>
      <c r="I4" s="93" t="s">
        <v>87</v>
      </c>
      <c r="J4" s="94"/>
      <c r="K4" s="94"/>
      <c r="L4" s="94"/>
      <c r="M4" s="95"/>
    </row>
    <row r="5" spans="1:13" ht="16.5" thickTop="1" thickBot="1" x14ac:dyDescent="0.3"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 ht="19.5" thickBot="1" x14ac:dyDescent="0.3">
      <c r="D6" s="97" t="s">
        <v>72</v>
      </c>
      <c r="E6" s="98"/>
      <c r="F6" s="98"/>
      <c r="G6" s="98"/>
      <c r="H6" s="98"/>
      <c r="I6" s="99" t="s">
        <v>73</v>
      </c>
      <c r="J6" s="99"/>
      <c r="K6" s="99"/>
      <c r="L6" s="99"/>
      <c r="M6" s="100"/>
    </row>
    <row r="7" spans="1:13" ht="20.25" x14ac:dyDescent="0.25">
      <c r="D7" s="90" t="s">
        <v>74</v>
      </c>
      <c r="E7" s="71"/>
      <c r="F7" s="71">
        <f>VLOOKUP(F4,'حقوق و دستمزد'!A6:M25,4)</f>
        <v>185</v>
      </c>
      <c r="G7" s="71"/>
      <c r="H7" s="71"/>
      <c r="I7" s="71" t="s">
        <v>75</v>
      </c>
      <c r="J7" s="71"/>
      <c r="K7" s="91">
        <f>VLOOKUP(F4,'حقوق و دستمزد'!A6:R25,18)</f>
        <v>0</v>
      </c>
      <c r="L7" s="91"/>
      <c r="M7" s="92"/>
    </row>
    <row r="8" spans="1:13" ht="20.25" x14ac:dyDescent="0.25">
      <c r="D8" s="72" t="s">
        <v>76</v>
      </c>
      <c r="E8" s="52"/>
      <c r="F8" s="52">
        <f>VLOOKUP(F4,'حقوق و دستمزد'!A6:E25,5)</f>
        <v>22</v>
      </c>
      <c r="G8" s="52"/>
      <c r="H8" s="52"/>
      <c r="I8" s="52" t="s">
        <v>77</v>
      </c>
      <c r="J8" s="52"/>
      <c r="K8" s="88">
        <f>VLOOKUP(F4,'حقوق و دستمزد'!A6:Q25,17)</f>
        <v>46380</v>
      </c>
      <c r="L8" s="88"/>
      <c r="M8" s="89"/>
    </row>
    <row r="9" spans="1:13" ht="20.25" x14ac:dyDescent="0.25">
      <c r="D9" s="72" t="s">
        <v>78</v>
      </c>
      <c r="E9" s="52"/>
      <c r="F9" s="52">
        <f>-VLOOKUP(F4,'جدول داده ها'!C7:N26,12)</f>
        <v>0</v>
      </c>
      <c r="G9" s="52"/>
      <c r="H9" s="52"/>
      <c r="I9" s="52" t="s">
        <v>67</v>
      </c>
      <c r="J9" s="52"/>
      <c r="K9" s="88">
        <f>VLOOKUP(F4,'حقوق و دستمزد'!A6:S25,19)</f>
        <v>647174</v>
      </c>
      <c r="L9" s="88"/>
      <c r="M9" s="89"/>
    </row>
    <row r="10" spans="1:13" ht="15" customHeight="1" x14ac:dyDescent="0.25">
      <c r="D10" s="72" t="s">
        <v>79</v>
      </c>
      <c r="E10" s="52"/>
      <c r="F10" s="52">
        <f>VLOOKUP(F4,'حقوق و دستمزد'!A6:F25,6)</f>
        <v>2558000</v>
      </c>
      <c r="G10" s="52"/>
      <c r="H10" s="52"/>
      <c r="I10" s="73" t="s">
        <v>81</v>
      </c>
      <c r="J10" s="74"/>
      <c r="K10" s="79">
        <f>SUM(K7,K8,K9)</f>
        <v>693554</v>
      </c>
      <c r="L10" s="80"/>
      <c r="M10" s="81"/>
    </row>
    <row r="11" spans="1:13" ht="15" customHeight="1" x14ac:dyDescent="0.25">
      <c r="D11" s="72" t="s">
        <v>80</v>
      </c>
      <c r="E11" s="52"/>
      <c r="F11" s="52">
        <f>VLOOKUP(F4,'حقوق و دستمزد'!A6:G25,7)</f>
        <v>255800</v>
      </c>
      <c r="G11" s="52"/>
      <c r="H11" s="52"/>
      <c r="I11" s="75"/>
      <c r="J11" s="76"/>
      <c r="K11" s="82"/>
      <c r="L11" s="83"/>
      <c r="M11" s="84"/>
    </row>
    <row r="12" spans="1:13" ht="15" customHeight="1" x14ac:dyDescent="0.25">
      <c r="D12" s="72" t="s">
        <v>82</v>
      </c>
      <c r="E12" s="52"/>
      <c r="F12" s="52">
        <f>VLOOKUP(F4,'جدول داده ها'!C7:I26,7)</f>
        <v>300000</v>
      </c>
      <c r="G12" s="52"/>
      <c r="H12" s="52"/>
      <c r="I12" s="77"/>
      <c r="J12" s="78"/>
      <c r="K12" s="85"/>
      <c r="L12" s="86"/>
      <c r="M12" s="87"/>
    </row>
    <row r="13" spans="1:13" ht="15" customHeight="1" x14ac:dyDescent="0.25">
      <c r="D13" s="72" t="s">
        <v>62</v>
      </c>
      <c r="E13" s="52"/>
      <c r="F13" s="52">
        <f>VLOOKUP(F4,'جدول داده ها'!C7:K26,9)</f>
        <v>0</v>
      </c>
      <c r="G13" s="52"/>
      <c r="H13" s="52"/>
      <c r="I13" s="54" t="s">
        <v>84</v>
      </c>
      <c r="J13" s="55"/>
      <c r="K13" s="60">
        <f>F18-K10</f>
        <v>2520453</v>
      </c>
      <c r="L13" s="61"/>
      <c r="M13" s="62"/>
    </row>
    <row r="14" spans="1:13" ht="15" customHeight="1" x14ac:dyDescent="0.25">
      <c r="D14" s="72" t="s">
        <v>83</v>
      </c>
      <c r="E14" s="52"/>
      <c r="F14" s="52">
        <f>VLOOKUP(F4,'حقوق و دستمزد'!A6:J25,10)</f>
        <v>100000</v>
      </c>
      <c r="G14" s="52"/>
      <c r="H14" s="52"/>
      <c r="I14" s="56"/>
      <c r="J14" s="57"/>
      <c r="K14" s="63"/>
      <c r="L14" s="64"/>
      <c r="M14" s="65"/>
    </row>
    <row r="15" spans="1:13" ht="15" customHeight="1" x14ac:dyDescent="0.25">
      <c r="D15" s="72" t="s">
        <v>12</v>
      </c>
      <c r="E15" s="52"/>
      <c r="F15" s="52">
        <f>VLOOKUP(F4,'حقوق و دستمزد'!A6:K25,11)</f>
        <v>0</v>
      </c>
      <c r="G15" s="52"/>
      <c r="H15" s="52"/>
      <c r="I15" s="56"/>
      <c r="J15" s="57"/>
      <c r="K15" s="63"/>
      <c r="L15" s="64"/>
      <c r="M15" s="65"/>
    </row>
    <row r="16" spans="1:13" ht="15" customHeight="1" x14ac:dyDescent="0.25">
      <c r="D16" s="72" t="s">
        <v>85</v>
      </c>
      <c r="E16" s="52"/>
      <c r="F16" s="52">
        <f>VLOOKUP(F4,'حقوق و دستمزد'!A6:L25,12)</f>
        <v>0</v>
      </c>
      <c r="G16" s="52"/>
      <c r="H16" s="52"/>
      <c r="I16" s="56"/>
      <c r="J16" s="57"/>
      <c r="K16" s="63"/>
      <c r="L16" s="64"/>
      <c r="M16" s="65"/>
    </row>
    <row r="17" spans="4:13" ht="15.75" customHeight="1" x14ac:dyDescent="0.25">
      <c r="D17" s="72" t="s">
        <v>64</v>
      </c>
      <c r="E17" s="52"/>
      <c r="F17" s="52">
        <f>VLOOKUP(F4,'حقوق و دستمزد'!A6:M25,13)</f>
        <v>0</v>
      </c>
      <c r="G17" s="52"/>
      <c r="H17" s="52"/>
      <c r="I17" s="56"/>
      <c r="J17" s="57"/>
      <c r="K17" s="63"/>
      <c r="L17" s="64"/>
      <c r="M17" s="65"/>
    </row>
    <row r="18" spans="4:13" ht="16.5" customHeight="1" thickBot="1" x14ac:dyDescent="0.3">
      <c r="D18" s="69" t="s">
        <v>86</v>
      </c>
      <c r="E18" s="70"/>
      <c r="F18" s="53">
        <f>SUM(F7:H17)</f>
        <v>3214007</v>
      </c>
      <c r="G18" s="53"/>
      <c r="H18" s="53"/>
      <c r="I18" s="58"/>
      <c r="J18" s="59"/>
      <c r="K18" s="66"/>
      <c r="L18" s="67"/>
      <c r="M18" s="68"/>
    </row>
  </sheetData>
  <mergeCells count="39">
    <mergeCell ref="I4:M4"/>
    <mergeCell ref="D5:H5"/>
    <mergeCell ref="I5:M5"/>
    <mergeCell ref="D6:H6"/>
    <mergeCell ref="I6:M6"/>
    <mergeCell ref="K9:M9"/>
    <mergeCell ref="D10:E10"/>
    <mergeCell ref="D7:E7"/>
    <mergeCell ref="I7:J7"/>
    <mergeCell ref="K7:M7"/>
    <mergeCell ref="D8:E8"/>
    <mergeCell ref="I8:J8"/>
    <mergeCell ref="K8:M8"/>
    <mergeCell ref="D12:E12"/>
    <mergeCell ref="D13:E13"/>
    <mergeCell ref="F13:H13"/>
    <mergeCell ref="D9:E9"/>
    <mergeCell ref="I9:J9"/>
    <mergeCell ref="I13:J18"/>
    <mergeCell ref="K13:M18"/>
    <mergeCell ref="D18:E18"/>
    <mergeCell ref="F7:H7"/>
    <mergeCell ref="F8:H8"/>
    <mergeCell ref="F9:H9"/>
    <mergeCell ref="F10:H10"/>
    <mergeCell ref="F11:H11"/>
    <mergeCell ref="F12:H12"/>
    <mergeCell ref="D14:E14"/>
    <mergeCell ref="D15:E15"/>
    <mergeCell ref="D16:E16"/>
    <mergeCell ref="D17:E17"/>
    <mergeCell ref="D11:E11"/>
    <mergeCell ref="I10:J12"/>
    <mergeCell ref="K10:M12"/>
    <mergeCell ref="F14:H14"/>
    <mergeCell ref="F15:H15"/>
    <mergeCell ref="F16:H16"/>
    <mergeCell ref="F17:H17"/>
    <mergeCell ref="F18:H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جدول داده ها</vt:lpstr>
      <vt:lpstr>حقوق و دستمزد</vt:lpstr>
      <vt:lpstr>فیش حقوقی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pardis computer</dc:creator>
  <cp:lastModifiedBy>pardis computer</cp:lastModifiedBy>
  <dcterms:created xsi:type="dcterms:W3CDTF">2020-06-09T17:08:21Z</dcterms:created>
  <dcterms:modified xsi:type="dcterms:W3CDTF">2020-06-12T15:21:07Z</dcterms:modified>
</cp:coreProperties>
</file>